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E:\URBARIAT\PD upravena\"/>
    </mc:Choice>
  </mc:AlternateContent>
  <bookViews>
    <workbookView xWindow="0" yWindow="0" windowWidth="28740" windowHeight="12750" tabRatio="500"/>
  </bookViews>
  <sheets>
    <sheet name="Hárok3" sheetId="1" r:id="rId1"/>
    <sheet name="SO 101 - Rozpočet" sheetId="2" r:id="rId2"/>
  </sheets>
  <definedNames>
    <definedName name="_xlnm._FilterDatabase" localSheetId="1" hidden="1">'SO 101 - Rozpočet'!$C$14:$K$104</definedName>
    <definedName name="_xlnm.Print_Titles" localSheetId="1">'SO 101 - Rozpočet'!$14:$14</definedName>
    <definedName name="Print_Titles_0" localSheetId="1">'SO 101 - Rozpočet'!$14:$14</definedName>
    <definedName name="Print_Titles_0_0" localSheetId="1">'SO 101 - Rozpočet'!$14:$14</definedName>
    <definedName name="Print_Titles_0_0_0" localSheetId="1">'SO 101 - Rozpočet'!$14:$14</definedName>
    <definedName name="Print_Titles_0_0_0_0" localSheetId="1">'SO 101 - Rozpočet'!$14:$14</definedName>
  </definedNames>
  <calcPr calcId="162913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J16" i="2" l="1"/>
  <c r="J17" i="2"/>
  <c r="J21" i="2"/>
  <c r="J22" i="2"/>
  <c r="J23" i="2"/>
  <c r="J24" i="2"/>
  <c r="BF24" i="2" s="1"/>
  <c r="J25" i="2"/>
  <c r="J26" i="2"/>
  <c r="J27" i="2"/>
  <c r="J28" i="2"/>
  <c r="J29" i="2"/>
  <c r="J30" i="2"/>
  <c r="J31" i="2"/>
  <c r="J32" i="2"/>
  <c r="J33" i="2"/>
  <c r="J34" i="2"/>
  <c r="J35" i="2"/>
  <c r="J36" i="2"/>
  <c r="J37" i="2"/>
  <c r="J38" i="2"/>
  <c r="J20" i="2"/>
  <c r="J19" i="2"/>
  <c r="J18" i="2"/>
  <c r="J112" i="2"/>
  <c r="J110" i="2"/>
  <c r="J108" i="2"/>
  <c r="J107" i="2"/>
  <c r="J98" i="2"/>
  <c r="J97" i="2" s="1"/>
  <c r="J99" i="2"/>
  <c r="J102" i="2"/>
  <c r="J101" i="2"/>
  <c r="J100" i="2"/>
  <c r="J104" i="2"/>
  <c r="J103" i="2"/>
  <c r="J96" i="2"/>
  <c r="J90" i="2"/>
  <c r="J86" i="2"/>
  <c r="J85" i="2"/>
  <c r="J84" i="2"/>
  <c r="J83" i="2"/>
  <c r="J81" i="2"/>
  <c r="J79" i="2"/>
  <c r="J72" i="2"/>
  <c r="J71" i="2"/>
  <c r="J77" i="2"/>
  <c r="J75" i="2"/>
  <c r="J73" i="2"/>
  <c r="J74" i="2"/>
  <c r="J69" i="2"/>
  <c r="J68" i="2"/>
  <c r="J57" i="2"/>
  <c r="J56" i="2"/>
  <c r="J53" i="2"/>
  <c r="J52" i="2"/>
  <c r="J51" i="2"/>
  <c r="J50" i="2"/>
  <c r="J46" i="2"/>
  <c r="J45" i="2"/>
  <c r="J43" i="2"/>
  <c r="J41" i="2"/>
  <c r="J39" i="2"/>
  <c r="J42" i="2"/>
  <c r="J47" i="2"/>
  <c r="BF47" i="2" s="1"/>
  <c r="J109" i="2"/>
  <c r="BK106" i="2"/>
  <c r="BK105" i="2" s="1"/>
  <c r="T106" i="2"/>
  <c r="R106" i="2"/>
  <c r="P106" i="2"/>
  <c r="P105" i="2" s="1"/>
  <c r="T105" i="2"/>
  <c r="R105" i="2"/>
  <c r="BI104" i="2"/>
  <c r="BH104" i="2"/>
  <c r="BG104" i="2"/>
  <c r="BE104" i="2"/>
  <c r="BI103" i="2"/>
  <c r="BH103" i="2"/>
  <c r="BG103" i="2"/>
  <c r="BE103" i="2"/>
  <c r="BI102" i="2"/>
  <c r="BH102" i="2"/>
  <c r="BG102" i="2"/>
  <c r="BE102" i="2"/>
  <c r="BI101" i="2"/>
  <c r="BH101" i="2"/>
  <c r="BG101" i="2"/>
  <c r="BE101" i="2"/>
  <c r="BI100" i="2"/>
  <c r="BH100" i="2"/>
  <c r="BG100" i="2"/>
  <c r="BE100" i="2"/>
  <c r="BI99" i="2"/>
  <c r="BH99" i="2"/>
  <c r="BG99" i="2"/>
  <c r="BE99" i="2"/>
  <c r="BI96" i="2"/>
  <c r="BH96" i="2"/>
  <c r="BG96" i="2"/>
  <c r="BE96" i="2"/>
  <c r="J94" i="2"/>
  <c r="J93" i="2"/>
  <c r="BK92" i="2"/>
  <c r="BI92" i="2"/>
  <c r="BH92" i="2"/>
  <c r="BG92" i="2"/>
  <c r="BE92" i="2"/>
  <c r="T92" i="2"/>
  <c r="R92" i="2"/>
  <c r="P92" i="2"/>
  <c r="J92" i="2"/>
  <c r="BF92" i="2" s="1"/>
  <c r="BI91" i="2"/>
  <c r="BH91" i="2"/>
  <c r="BG91" i="2"/>
  <c r="BE91" i="2"/>
  <c r="H91" i="2"/>
  <c r="BI90" i="2"/>
  <c r="BH90" i="2"/>
  <c r="BG90" i="2"/>
  <c r="BE90" i="2"/>
  <c r="H89" i="2"/>
  <c r="J89" i="2" s="1"/>
  <c r="BK88" i="2"/>
  <c r="BI88" i="2"/>
  <c r="BH88" i="2"/>
  <c r="BG88" i="2"/>
  <c r="BE88" i="2"/>
  <c r="T88" i="2"/>
  <c r="R88" i="2"/>
  <c r="P88" i="2"/>
  <c r="J88" i="2"/>
  <c r="BF88" i="2" s="1"/>
  <c r="BI87" i="2"/>
  <c r="BH87" i="2"/>
  <c r="BG87" i="2"/>
  <c r="BE87" i="2"/>
  <c r="BI86" i="2"/>
  <c r="BH86" i="2"/>
  <c r="BG86" i="2"/>
  <c r="BE86" i="2"/>
  <c r="BI85" i="2"/>
  <c r="BH85" i="2"/>
  <c r="BG85" i="2"/>
  <c r="BE85" i="2"/>
  <c r="H85" i="2"/>
  <c r="H86" i="2" s="1"/>
  <c r="BI84" i="2"/>
  <c r="BH84" i="2"/>
  <c r="BG84" i="2"/>
  <c r="BE84" i="2"/>
  <c r="BI83" i="2"/>
  <c r="BH83" i="2"/>
  <c r="BG83" i="2"/>
  <c r="BE83" i="2"/>
  <c r="BK82" i="2"/>
  <c r="BI82" i="2"/>
  <c r="BH82" i="2"/>
  <c r="BG82" i="2"/>
  <c r="BF82" i="2"/>
  <c r="BE82" i="2"/>
  <c r="T82" i="2"/>
  <c r="R82" i="2"/>
  <c r="P82" i="2"/>
  <c r="J82" i="2"/>
  <c r="BI81" i="2"/>
  <c r="BH81" i="2"/>
  <c r="BG81" i="2"/>
  <c r="BE81" i="2"/>
  <c r="T81" i="2"/>
  <c r="H81" i="2"/>
  <c r="BI80" i="2"/>
  <c r="BH80" i="2"/>
  <c r="BG80" i="2"/>
  <c r="BE80" i="2"/>
  <c r="BI79" i="2"/>
  <c r="BH79" i="2"/>
  <c r="BG79" i="2"/>
  <c r="BE79" i="2"/>
  <c r="BI77" i="2"/>
  <c r="BH77" i="2"/>
  <c r="BG77" i="2"/>
  <c r="BE77" i="2"/>
  <c r="T77" i="2"/>
  <c r="H77" i="2"/>
  <c r="R77" i="2" s="1"/>
  <c r="H76" i="2"/>
  <c r="J76" i="2" s="1"/>
  <c r="BI75" i="2"/>
  <c r="BH75" i="2"/>
  <c r="BG75" i="2"/>
  <c r="BE75" i="2"/>
  <c r="BI74" i="2"/>
  <c r="BH74" i="2"/>
  <c r="BG74" i="2"/>
  <c r="BE74" i="2"/>
  <c r="BI73" i="2"/>
  <c r="BH73" i="2"/>
  <c r="BG73" i="2"/>
  <c r="BE73" i="2"/>
  <c r="BK72" i="2"/>
  <c r="BI72" i="2"/>
  <c r="BH72" i="2"/>
  <c r="BG72" i="2"/>
  <c r="BF72" i="2"/>
  <c r="BE72" i="2"/>
  <c r="T72" i="2"/>
  <c r="R72" i="2"/>
  <c r="P72" i="2"/>
  <c r="H72" i="2"/>
  <c r="BK71" i="2"/>
  <c r="BI71" i="2"/>
  <c r="BH71" i="2"/>
  <c r="BG71" i="2"/>
  <c r="BE71" i="2"/>
  <c r="T71" i="2"/>
  <c r="R71" i="2"/>
  <c r="P71" i="2"/>
  <c r="BI69" i="2"/>
  <c r="BH69" i="2"/>
  <c r="BG69" i="2"/>
  <c r="BE69" i="2"/>
  <c r="BI68" i="2"/>
  <c r="BH68" i="2"/>
  <c r="BG68" i="2"/>
  <c r="BE68" i="2"/>
  <c r="H68" i="2"/>
  <c r="BI66" i="2"/>
  <c r="BH66" i="2"/>
  <c r="BG66" i="2"/>
  <c r="BE66" i="2"/>
  <c r="H66" i="2"/>
  <c r="BI65" i="2"/>
  <c r="BH65" i="2"/>
  <c r="BG65" i="2"/>
  <c r="BE65" i="2"/>
  <c r="BK64" i="2"/>
  <c r="BI64" i="2"/>
  <c r="BH64" i="2"/>
  <c r="BG64" i="2"/>
  <c r="BE64" i="2"/>
  <c r="T64" i="2"/>
  <c r="R64" i="2"/>
  <c r="P64" i="2"/>
  <c r="J64" i="2"/>
  <c r="BF64" i="2" s="1"/>
  <c r="BK63" i="2"/>
  <c r="BI63" i="2"/>
  <c r="BH63" i="2"/>
  <c r="BG63" i="2"/>
  <c r="BE63" i="2"/>
  <c r="T63" i="2"/>
  <c r="R63" i="2"/>
  <c r="P63" i="2"/>
  <c r="J63" i="2"/>
  <c r="BF63" i="2" s="1"/>
  <c r="BK62" i="2"/>
  <c r="BI62" i="2"/>
  <c r="BH62" i="2"/>
  <c r="BG62" i="2"/>
  <c r="BE62" i="2"/>
  <c r="R62" i="2"/>
  <c r="P62" i="2"/>
  <c r="J62" i="2"/>
  <c r="BF62" i="2" s="1"/>
  <c r="H62" i="2"/>
  <c r="T62" i="2" s="1"/>
  <c r="BI61" i="2"/>
  <c r="BH61" i="2"/>
  <c r="BG61" i="2"/>
  <c r="BE61" i="2"/>
  <c r="BI60" i="2"/>
  <c r="BH60" i="2"/>
  <c r="BG60" i="2"/>
  <c r="BE60" i="2"/>
  <c r="T60" i="2"/>
  <c r="R60" i="2"/>
  <c r="J60" i="2"/>
  <c r="BF60" i="2" s="1"/>
  <c r="H60" i="2"/>
  <c r="J59" i="2"/>
  <c r="J58" i="2"/>
  <c r="BK57" i="2"/>
  <c r="BI57" i="2"/>
  <c r="BH57" i="2"/>
  <c r="BG57" i="2"/>
  <c r="BF57" i="2"/>
  <c r="BE57" i="2"/>
  <c r="T57" i="2"/>
  <c r="R57" i="2"/>
  <c r="P57" i="2"/>
  <c r="BI56" i="2"/>
  <c r="BH56" i="2"/>
  <c r="BG56" i="2"/>
  <c r="BE56" i="2"/>
  <c r="BK55" i="2"/>
  <c r="BI55" i="2"/>
  <c r="BH55" i="2"/>
  <c r="BG55" i="2"/>
  <c r="BF55" i="2"/>
  <c r="BE55" i="2"/>
  <c r="T55" i="2"/>
  <c r="R55" i="2"/>
  <c r="P55" i="2"/>
  <c r="J55" i="2"/>
  <c r="BI53" i="2"/>
  <c r="BH53" i="2"/>
  <c r="BG53" i="2"/>
  <c r="BE53" i="2"/>
  <c r="P53" i="2"/>
  <c r="H53" i="2"/>
  <c r="R53" i="2" s="1"/>
  <c r="BI52" i="2"/>
  <c r="BH52" i="2"/>
  <c r="BG52" i="2"/>
  <c r="BE52" i="2"/>
  <c r="BI51" i="2"/>
  <c r="BH51" i="2"/>
  <c r="BG51" i="2"/>
  <c r="BE51" i="2"/>
  <c r="H51" i="2"/>
  <c r="BI50" i="2"/>
  <c r="BH50" i="2"/>
  <c r="BG50" i="2"/>
  <c r="BE50" i="2"/>
  <c r="BK48" i="2"/>
  <c r="BI48" i="2"/>
  <c r="BH48" i="2"/>
  <c r="BG48" i="2"/>
  <c r="BF48" i="2"/>
  <c r="BE48" i="2"/>
  <c r="T48" i="2"/>
  <c r="R48" i="2"/>
  <c r="P48" i="2"/>
  <c r="J48" i="2"/>
  <c r="BI47" i="2"/>
  <c r="BH47" i="2"/>
  <c r="BG47" i="2"/>
  <c r="BE47" i="2"/>
  <c r="T47" i="2"/>
  <c r="H47" i="2"/>
  <c r="BI46" i="2"/>
  <c r="BH46" i="2"/>
  <c r="BG46" i="2"/>
  <c r="BE46" i="2"/>
  <c r="BI45" i="2"/>
  <c r="BH45" i="2"/>
  <c r="BG45" i="2"/>
  <c r="BE45" i="2"/>
  <c r="BI44" i="2"/>
  <c r="BH44" i="2"/>
  <c r="BG44" i="2"/>
  <c r="BE44" i="2"/>
  <c r="H44" i="2"/>
  <c r="J44" i="2" s="1"/>
  <c r="BF44" i="2" s="1"/>
  <c r="BI43" i="2"/>
  <c r="BH43" i="2"/>
  <c r="BG43" i="2"/>
  <c r="BE43" i="2"/>
  <c r="H43" i="2"/>
  <c r="BI41" i="2"/>
  <c r="BH41" i="2"/>
  <c r="BG41" i="2"/>
  <c r="BE41" i="2"/>
  <c r="H41" i="2"/>
  <c r="BK40" i="2"/>
  <c r="BI40" i="2"/>
  <c r="BH40" i="2"/>
  <c r="BG40" i="2"/>
  <c r="BF40" i="2"/>
  <c r="BE40" i="2"/>
  <c r="T40" i="2"/>
  <c r="R40" i="2"/>
  <c r="P40" i="2"/>
  <c r="J40" i="2"/>
  <c r="BK38" i="2"/>
  <c r="BI38" i="2"/>
  <c r="BH38" i="2"/>
  <c r="BG38" i="2"/>
  <c r="BF38" i="2"/>
  <c r="BE38" i="2"/>
  <c r="P38" i="2"/>
  <c r="H38" i="2"/>
  <c r="T38" i="2" s="1"/>
  <c r="BI37" i="2"/>
  <c r="BH37" i="2"/>
  <c r="BG37" i="2"/>
  <c r="BE37" i="2"/>
  <c r="H37" i="2"/>
  <c r="BF37" i="2" s="1"/>
  <c r="BI36" i="2"/>
  <c r="BH36" i="2"/>
  <c r="BG36" i="2"/>
  <c r="BE36" i="2"/>
  <c r="T36" i="2"/>
  <c r="H36" i="2"/>
  <c r="BI35" i="2"/>
  <c r="BH35" i="2"/>
  <c r="BG35" i="2"/>
  <c r="BE35" i="2"/>
  <c r="BI34" i="2"/>
  <c r="BH34" i="2"/>
  <c r="BG34" i="2"/>
  <c r="BE34" i="2"/>
  <c r="BI33" i="2"/>
  <c r="BH33" i="2"/>
  <c r="BG33" i="2"/>
  <c r="BE33" i="2"/>
  <c r="BI32" i="2"/>
  <c r="BH32" i="2"/>
  <c r="BG32" i="2"/>
  <c r="BE32" i="2"/>
  <c r="BI31" i="2"/>
  <c r="BH31" i="2"/>
  <c r="BG31" i="2"/>
  <c r="BE31" i="2"/>
  <c r="BK30" i="2"/>
  <c r="BI30" i="2"/>
  <c r="BH30" i="2"/>
  <c r="BG30" i="2"/>
  <c r="BE30" i="2"/>
  <c r="P30" i="2"/>
  <c r="BF30" i="2"/>
  <c r="H30" i="2"/>
  <c r="T30" i="2" s="1"/>
  <c r="BI27" i="2"/>
  <c r="BH27" i="2"/>
  <c r="BG27" i="2"/>
  <c r="BE27" i="2"/>
  <c r="T27" i="2"/>
  <c r="H27" i="2"/>
  <c r="BI26" i="2"/>
  <c r="BH26" i="2"/>
  <c r="BG26" i="2"/>
  <c r="BE26" i="2"/>
  <c r="T26" i="2"/>
  <c r="R26" i="2"/>
  <c r="H26" i="2"/>
  <c r="BK25" i="2"/>
  <c r="BI25" i="2"/>
  <c r="BH25" i="2"/>
  <c r="BG25" i="2"/>
  <c r="BF25" i="2"/>
  <c r="BE25" i="2"/>
  <c r="T25" i="2"/>
  <c r="R25" i="2"/>
  <c r="P25" i="2"/>
  <c r="BK24" i="2"/>
  <c r="BI24" i="2"/>
  <c r="BH24" i="2"/>
  <c r="BG24" i="2"/>
  <c r="BE24" i="2"/>
  <c r="T24" i="2"/>
  <c r="R24" i="2"/>
  <c r="P24" i="2"/>
  <c r="BK23" i="2"/>
  <c r="BI23" i="2"/>
  <c r="BH23" i="2"/>
  <c r="BG23" i="2"/>
  <c r="BF23" i="2"/>
  <c r="BE23" i="2"/>
  <c r="T23" i="2"/>
  <c r="R23" i="2"/>
  <c r="P23" i="2"/>
  <c r="BK22" i="2"/>
  <c r="BI22" i="2"/>
  <c r="BH22" i="2"/>
  <c r="BG22" i="2"/>
  <c r="BE22" i="2"/>
  <c r="T22" i="2"/>
  <c r="R22" i="2"/>
  <c r="P22" i="2"/>
  <c r="BF22" i="2"/>
  <c r="BK21" i="2"/>
  <c r="BI21" i="2"/>
  <c r="BH21" i="2"/>
  <c r="BG21" i="2"/>
  <c r="BE21" i="2"/>
  <c r="R21" i="2"/>
  <c r="P21" i="2"/>
  <c r="H21" i="2"/>
  <c r="BF21" i="2" s="1"/>
  <c r="BK20" i="2"/>
  <c r="BI20" i="2"/>
  <c r="BH20" i="2"/>
  <c r="BG20" i="2"/>
  <c r="BE20" i="2"/>
  <c r="P20" i="2"/>
  <c r="BF20" i="2"/>
  <c r="H20" i="2"/>
  <c r="T20" i="2" s="1"/>
  <c r="H19" i="2"/>
  <c r="H18" i="2"/>
  <c r="H73" i="2" s="1"/>
  <c r="E9" i="1"/>
  <c r="E5" i="1"/>
  <c r="J106" i="2" l="1"/>
  <c r="J95" i="2"/>
  <c r="J78" i="2"/>
  <c r="J70" i="2"/>
  <c r="J54" i="2"/>
  <c r="J49" i="2"/>
  <c r="R86" i="2"/>
  <c r="T86" i="2"/>
  <c r="P86" i="2"/>
  <c r="BK86" i="2"/>
  <c r="BF86" i="2"/>
  <c r="H75" i="2"/>
  <c r="BK73" i="2"/>
  <c r="P73" i="2"/>
  <c r="R73" i="2"/>
  <c r="BF73" i="2"/>
  <c r="H74" i="2"/>
  <c r="BK39" i="2"/>
  <c r="BK41" i="2"/>
  <c r="P41" i="2"/>
  <c r="P39" i="2" s="1"/>
  <c r="BF41" i="2"/>
  <c r="BF51" i="2"/>
  <c r="H50" i="2"/>
  <c r="T51" i="2"/>
  <c r="H52" i="2"/>
  <c r="R51" i="2"/>
  <c r="BK51" i="2"/>
  <c r="P51" i="2"/>
  <c r="BK43" i="2"/>
  <c r="P43" i="2"/>
  <c r="H46" i="2"/>
  <c r="T43" i="2"/>
  <c r="R43" i="2"/>
  <c r="BK68" i="2"/>
  <c r="P68" i="2"/>
  <c r="T68" i="2"/>
  <c r="R68" i="2"/>
  <c r="BF68" i="2"/>
  <c r="BK91" i="2"/>
  <c r="P91" i="2"/>
  <c r="T91" i="2"/>
  <c r="R91" i="2"/>
  <c r="H79" i="2"/>
  <c r="J91" i="2"/>
  <c r="BF91" i="2" s="1"/>
  <c r="H99" i="2"/>
  <c r="H45" i="2"/>
  <c r="R44" i="2"/>
  <c r="T44" i="2"/>
  <c r="P44" i="2"/>
  <c r="BK44" i="2"/>
  <c r="BK66" i="2"/>
  <c r="P66" i="2"/>
  <c r="T66" i="2"/>
  <c r="R66" i="2"/>
  <c r="H65" i="2"/>
  <c r="J66" i="2"/>
  <c r="BF66" i="2" s="1"/>
  <c r="T73" i="2"/>
  <c r="BK85" i="2"/>
  <c r="P85" i="2"/>
  <c r="T85" i="2"/>
  <c r="H28" i="2"/>
  <c r="H90" i="2"/>
  <c r="R85" i="2"/>
  <c r="H84" i="2"/>
  <c r="BF85" i="2"/>
  <c r="H56" i="2"/>
  <c r="R37" i="2"/>
  <c r="BK37" i="2"/>
  <c r="P37" i="2"/>
  <c r="R27" i="2"/>
  <c r="BK27" i="2"/>
  <c r="P27" i="2"/>
  <c r="BK36" i="2"/>
  <c r="P36" i="2"/>
  <c r="BF36" i="2"/>
  <c r="R41" i="2"/>
  <c r="R39" i="2" s="1"/>
  <c r="BK26" i="2"/>
  <c r="P26" i="2"/>
  <c r="BF27" i="2"/>
  <c r="R36" i="2"/>
  <c r="T37" i="2"/>
  <c r="T41" i="2"/>
  <c r="T39" i="2" s="1"/>
  <c r="BF43" i="2"/>
  <c r="H69" i="2"/>
  <c r="BK47" i="2"/>
  <c r="P47" i="2"/>
  <c r="T53" i="2"/>
  <c r="H83" i="2"/>
  <c r="BF81" i="2"/>
  <c r="R20" i="2"/>
  <c r="T21" i="2"/>
  <c r="R30" i="2"/>
  <c r="H31" i="2"/>
  <c r="R38" i="2"/>
  <c r="BF71" i="2"/>
  <c r="BF77" i="2"/>
  <c r="BK77" i="2"/>
  <c r="P81" i="2"/>
  <c r="BK81" i="2"/>
  <c r="R47" i="2"/>
  <c r="BF53" i="2"/>
  <c r="BK53" i="2"/>
  <c r="H87" i="2"/>
  <c r="BK60" i="2"/>
  <c r="P60" i="2"/>
  <c r="H61" i="2"/>
  <c r="P77" i="2"/>
  <c r="R81" i="2"/>
  <c r="BF26" i="2" l="1"/>
  <c r="BF90" i="2"/>
  <c r="BK90" i="2"/>
  <c r="P90" i="2"/>
  <c r="T90" i="2"/>
  <c r="R90" i="2"/>
  <c r="H29" i="2"/>
  <c r="T45" i="2"/>
  <c r="T42" i="2" s="1"/>
  <c r="P45" i="2"/>
  <c r="P42" i="2" s="1"/>
  <c r="BK45" i="2"/>
  <c r="BK42" i="2" s="1"/>
  <c r="BF45" i="2"/>
  <c r="R45" i="2"/>
  <c r="BF46" i="2"/>
  <c r="T46" i="2"/>
  <c r="R46" i="2"/>
  <c r="P46" i="2"/>
  <c r="BK46" i="2"/>
  <c r="T50" i="2"/>
  <c r="T49" i="2" s="1"/>
  <c r="BK50" i="2"/>
  <c r="BF50" i="2"/>
  <c r="R50" i="2"/>
  <c r="P50" i="2"/>
  <c r="P49" i="2" s="1"/>
  <c r="R74" i="2"/>
  <c r="P74" i="2"/>
  <c r="BK74" i="2"/>
  <c r="T74" i="2"/>
  <c r="R69" i="2"/>
  <c r="R67" i="2" s="1"/>
  <c r="T69" i="2"/>
  <c r="T67" i="2" s="1"/>
  <c r="P69" i="2"/>
  <c r="P67" i="2" s="1"/>
  <c r="BK69" i="2"/>
  <c r="BF69" i="2"/>
  <c r="BF84" i="2"/>
  <c r="BK84" i="2"/>
  <c r="P84" i="2"/>
  <c r="T84" i="2"/>
  <c r="R84" i="2"/>
  <c r="BK67" i="2"/>
  <c r="J67" i="2" s="1"/>
  <c r="T75" i="2"/>
  <c r="BK75" i="2"/>
  <c r="BF75" i="2"/>
  <c r="R75" i="2"/>
  <c r="P75" i="2"/>
  <c r="T87" i="2"/>
  <c r="P87" i="2"/>
  <c r="BK87" i="2"/>
  <c r="J87" i="2"/>
  <c r="BF87" i="2" s="1"/>
  <c r="R87" i="2"/>
  <c r="T83" i="2"/>
  <c r="R83" i="2"/>
  <c r="P83" i="2"/>
  <c r="BK83" i="2"/>
  <c r="BF83" i="2"/>
  <c r="BF56" i="2"/>
  <c r="R56" i="2"/>
  <c r="BK56" i="2"/>
  <c r="P56" i="2"/>
  <c r="H96" i="2"/>
  <c r="T56" i="2"/>
  <c r="J65" i="2"/>
  <c r="BF65" i="2" s="1"/>
  <c r="BK65" i="2"/>
  <c r="P65" i="2"/>
  <c r="H35" i="2"/>
  <c r="T65" i="2"/>
  <c r="R65" i="2"/>
  <c r="R61" i="2"/>
  <c r="T61" i="2"/>
  <c r="P61" i="2"/>
  <c r="BK61" i="2"/>
  <c r="J61" i="2"/>
  <c r="BF61" i="2" s="1"/>
  <c r="H80" i="2"/>
  <c r="R79" i="2"/>
  <c r="BK79" i="2"/>
  <c r="T79" i="2"/>
  <c r="P79" i="2"/>
  <c r="BF31" i="2"/>
  <c r="T31" i="2"/>
  <c r="BK31" i="2"/>
  <c r="R31" i="2"/>
  <c r="H32" i="2"/>
  <c r="P31" i="2"/>
  <c r="BF99" i="2"/>
  <c r="T99" i="2"/>
  <c r="H101" i="2"/>
  <c r="H100" i="2"/>
  <c r="R99" i="2"/>
  <c r="BK99" i="2"/>
  <c r="P99" i="2"/>
  <c r="R42" i="2"/>
  <c r="BK52" i="2"/>
  <c r="P52" i="2"/>
  <c r="BF52" i="2"/>
  <c r="T52" i="2"/>
  <c r="R52" i="2"/>
  <c r="T80" i="2" l="1"/>
  <c r="T78" i="2" s="1"/>
  <c r="T70" i="2" s="1"/>
  <c r="R80" i="2"/>
  <c r="P80" i="2"/>
  <c r="P78" i="2" s="1"/>
  <c r="P70" i="2" s="1"/>
  <c r="J80" i="2"/>
  <c r="BF80" i="2" s="1"/>
  <c r="BK80" i="2"/>
  <c r="P54" i="2"/>
  <c r="BF79" i="2"/>
  <c r="BK54" i="2"/>
  <c r="R49" i="2"/>
  <c r="BK78" i="2"/>
  <c r="BK70" i="2" s="1"/>
  <c r="H102" i="2"/>
  <c r="R101" i="2"/>
  <c r="BK101" i="2"/>
  <c r="BF101" i="2"/>
  <c r="H103" i="2"/>
  <c r="T101" i="2"/>
  <c r="P101" i="2"/>
  <c r="H34" i="2"/>
  <c r="BK32" i="2"/>
  <c r="P32" i="2"/>
  <c r="BF32" i="2"/>
  <c r="H33" i="2"/>
  <c r="T32" i="2"/>
  <c r="R32" i="2"/>
  <c r="BF74" i="2"/>
  <c r="BF35" i="2"/>
  <c r="T35" i="2"/>
  <c r="R35" i="2"/>
  <c r="P35" i="2"/>
  <c r="BK35" i="2"/>
  <c r="T54" i="2"/>
  <c r="R54" i="2"/>
  <c r="BK100" i="2"/>
  <c r="P100" i="2"/>
  <c r="BF100" i="2"/>
  <c r="T100" i="2"/>
  <c r="R100" i="2"/>
  <c r="R78" i="2"/>
  <c r="BK96" i="2"/>
  <c r="BK95" i="2" s="1"/>
  <c r="P96" i="2"/>
  <c r="P95" i="2" s="1"/>
  <c r="T96" i="2"/>
  <c r="T95" i="2" s="1"/>
  <c r="R96" i="2"/>
  <c r="R95" i="2" s="1"/>
  <c r="BF96" i="2"/>
  <c r="R70" i="2"/>
  <c r="BK49" i="2"/>
  <c r="R33" i="2" l="1"/>
  <c r="BK33" i="2"/>
  <c r="P33" i="2"/>
  <c r="T33" i="2"/>
  <c r="BF33" i="2"/>
  <c r="T34" i="2"/>
  <c r="T17" i="2" s="1"/>
  <c r="T16" i="2" s="1"/>
  <c r="R34" i="2"/>
  <c r="R17" i="2" s="1"/>
  <c r="R16" i="2" s="1"/>
  <c r="P34" i="2"/>
  <c r="BK34" i="2"/>
  <c r="P17" i="2"/>
  <c r="P16" i="2" s="1"/>
  <c r="BK103" i="2"/>
  <c r="BF103" i="2"/>
  <c r="R103" i="2"/>
  <c r="P103" i="2"/>
  <c r="H104" i="2"/>
  <c r="T103" i="2"/>
  <c r="T102" i="2"/>
  <c r="R102" i="2"/>
  <c r="P102" i="2"/>
  <c r="BK102" i="2"/>
  <c r="BF102" i="2"/>
  <c r="R98" i="2" l="1"/>
  <c r="R97" i="2" s="1"/>
  <c r="R15" i="2" s="1"/>
  <c r="BK17" i="2"/>
  <c r="BK16" i="2" s="1"/>
  <c r="R104" i="2"/>
  <c r="BK104" i="2"/>
  <c r="BK98" i="2" s="1"/>
  <c r="P104" i="2"/>
  <c r="P98" i="2" s="1"/>
  <c r="P97" i="2" s="1"/>
  <c r="P15" i="2" s="1"/>
  <c r="T104" i="2"/>
  <c r="T98" i="2" s="1"/>
  <c r="T97" i="2" s="1"/>
  <c r="T15" i="2" s="1"/>
  <c r="BF104" i="2"/>
  <c r="BF34" i="2"/>
  <c r="BK97" i="2" l="1"/>
  <c r="BK15" i="2"/>
  <c r="J111" i="2" l="1"/>
  <c r="J105" i="2" s="1"/>
  <c r="J15" i="2" s="1"/>
  <c r="E29" i="1" l="1"/>
  <c r="R32" i="1" s="1"/>
  <c r="P33" i="1" l="1"/>
  <c r="R35" i="1"/>
  <c r="R33" i="1" s="1"/>
</calcChain>
</file>

<file path=xl/sharedStrings.xml><?xml version="1.0" encoding="utf-8"?>
<sst xmlns="http://schemas.openxmlformats.org/spreadsheetml/2006/main" count="1151" uniqueCount="392">
  <si>
    <t>KRYCÍ LIST ROZPOČTU</t>
  </si>
  <si>
    <t>Názov stavby</t>
  </si>
  <si>
    <t>JKSO</t>
  </si>
  <si>
    <t>EČO</t>
  </si>
  <si>
    <t>Miesto</t>
  </si>
  <si>
    <t>IČO</t>
  </si>
  <si>
    <t>IČ DPH</t>
  </si>
  <si>
    <t>Objednávateľ</t>
  </si>
  <si>
    <t>Projektant</t>
  </si>
  <si>
    <t xml:space="preserve">   </t>
  </si>
  <si>
    <t>Zhotoviteľ</t>
  </si>
  <si>
    <t>Spracoval</t>
  </si>
  <si>
    <t>Rozpočet číslo</t>
  </si>
  <si>
    <t>Dňa</t>
  </si>
  <si>
    <t>Položiek</t>
  </si>
  <si>
    <t>CPV</t>
  </si>
  <si>
    <t>CPA</t>
  </si>
  <si>
    <t>Merné a účelové jednotky</t>
  </si>
  <si>
    <t xml:space="preserve">        Počet</t>
  </si>
  <si>
    <t xml:space="preserve"> Náklady / 1 m.j.</t>
  </si>
  <si>
    <t xml:space="preserve">       Počet</t>
  </si>
  <si>
    <t xml:space="preserve">           Počet</t>
  </si>
  <si>
    <t xml:space="preserve">    Náklady / 1 m.j.</t>
  </si>
  <si>
    <t xml:space="preserve">Rozpočtové náklady v </t>
  </si>
  <si>
    <t>EUR</t>
  </si>
  <si>
    <t>A</t>
  </si>
  <si>
    <t>Základné rozp. náklady</t>
  </si>
  <si>
    <t>B</t>
  </si>
  <si>
    <t>Doplnkové náklady</t>
  </si>
  <si>
    <t>C</t>
  </si>
  <si>
    <t>Vedľajšie rozpočtové náklady</t>
  </si>
  <si>
    <t>1</t>
  </si>
  <si>
    <t>HSV</t>
  </si>
  <si>
    <t>Dodávky</t>
  </si>
  <si>
    <t>8</t>
  </si>
  <si>
    <t>Práce nadčas</t>
  </si>
  <si>
    <t>13</t>
  </si>
  <si>
    <t xml:space="preserve">GZS   </t>
  </si>
  <si>
    <t>2</t>
  </si>
  <si>
    <t>Montáž</t>
  </si>
  <si>
    <t>9</t>
  </si>
  <si>
    <t>Bez pevnej podl.</t>
  </si>
  <si>
    <t>14</t>
  </si>
  <si>
    <t xml:space="preserve">Projektové práce   </t>
  </si>
  <si>
    <t>3</t>
  </si>
  <si>
    <t>PSV</t>
  </si>
  <si>
    <t>10</t>
  </si>
  <si>
    <t>Kultúrna pamiatka</t>
  </si>
  <si>
    <t>15</t>
  </si>
  <si>
    <t xml:space="preserve">Sťažené podmienky   </t>
  </si>
  <si>
    <t>4</t>
  </si>
  <si>
    <t>11</t>
  </si>
  <si>
    <t>16</t>
  </si>
  <si>
    <t xml:space="preserve">Vplyv prostredia   </t>
  </si>
  <si>
    <t>5</t>
  </si>
  <si>
    <t>"M"</t>
  </si>
  <si>
    <t>17</t>
  </si>
  <si>
    <t xml:space="preserve">Iné VRN   </t>
  </si>
  <si>
    <t>6</t>
  </si>
  <si>
    <t>18</t>
  </si>
  <si>
    <t>VRN z rozpočtu</t>
  </si>
  <si>
    <t>7</t>
  </si>
  <si>
    <t>ZRN (r. 1-6)</t>
  </si>
  <si>
    <t>12</t>
  </si>
  <si>
    <t>DN (r. 8-11)</t>
  </si>
  <si>
    <t>19</t>
  </si>
  <si>
    <t>VRN (r. 13-18)</t>
  </si>
  <si>
    <t>20</t>
  </si>
  <si>
    <t>HZS</t>
  </si>
  <si>
    <t>21</t>
  </si>
  <si>
    <t>Kompl. činnosť</t>
  </si>
  <si>
    <t>22</t>
  </si>
  <si>
    <t>Ostatné náklady</t>
  </si>
  <si>
    <t>D</t>
  </si>
  <si>
    <t>Celkové náklady</t>
  </si>
  <si>
    <t>23</t>
  </si>
  <si>
    <t>Súčet 7, 12, 19-22</t>
  </si>
  <si>
    <t>Dátum a podpis</t>
  </si>
  <si>
    <t>Pečiatka</t>
  </si>
  <si>
    <t>24</t>
  </si>
  <si>
    <t>DPH</t>
  </si>
  <si>
    <t>% z</t>
  </si>
  <si>
    <t>25</t>
  </si>
  <si>
    <t>Cena s DPH (r. 23-24)</t>
  </si>
  <si>
    <t>E</t>
  </si>
  <si>
    <t>Prípočty a odpočty</t>
  </si>
  <si>
    <t>26</t>
  </si>
  <si>
    <t>Dodávky objednávateľa</t>
  </si>
  <si>
    <t>27</t>
  </si>
  <si>
    <t>Kĺzavá doložka</t>
  </si>
  <si>
    <t>28</t>
  </si>
  <si>
    <t>Zvýhodnenie</t>
  </si>
  <si>
    <t>ROZPOČET</t>
  </si>
  <si>
    <t>Stavba:</t>
  </si>
  <si>
    <t>Rekonštrukcia lesnej cesty, Poruba pod Vihorlatom</t>
  </si>
  <si>
    <t>Objekt:</t>
  </si>
  <si>
    <t>Miesto:</t>
  </si>
  <si>
    <t>Poruba pod Vihorlatom</t>
  </si>
  <si>
    <t>Dátum:</t>
  </si>
  <si>
    <t>Objednávateľ:</t>
  </si>
  <si>
    <t>Urbarska spoločnosť obce Poruba pod Vihorlatom, pozemkové spoločenstvo</t>
  </si>
  <si>
    <t>Projektant:</t>
  </si>
  <si>
    <t>Spracovateľ:</t>
  </si>
  <si>
    <t>PČ</t>
  </si>
  <si>
    <t>Typ</t>
  </si>
  <si>
    <t>Kód</t>
  </si>
  <si>
    <t>Popis</t>
  </si>
  <si>
    <t>MJ</t>
  </si>
  <si>
    <t>Množstvo</t>
  </si>
  <si>
    <t>J.cena [EUR]</t>
  </si>
  <si>
    <t>Cena celkom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</si>
  <si>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</si>
  <si>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</si>
  <si>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</si>
  <si>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</si>
  <si>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</si>
  <si>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</si>
  <si>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</si>
  <si>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Náklady z rozpočtu</t>
  </si>
  <si>
    <t>-1</t>
  </si>
  <si>
    <t xml:space="preserve">Práce a dodávky HSV   </t>
  </si>
  <si>
    <t>0</t>
  </si>
  <si>
    <t>ROZPOCET</t>
  </si>
  <si>
    <t xml:space="preserve">Zemné práce   </t>
  </si>
  <si>
    <t>K</t>
  </si>
  <si>
    <t>113152230.S</t>
  </si>
  <si>
    <t>Frézovanie asf. podkladu alebo krytu bez prek., plochy do 500 m2, pruh š. cez 0,5 m do 1 m, hr. 50 mm  0,127 t</t>
  </si>
  <si>
    <t>m2</t>
  </si>
  <si>
    <t xml:space="preserve">Odstranenie spevnenej priekopy, rigolu, spevnenia z betónu   </t>
  </si>
  <si>
    <t>m</t>
  </si>
  <si>
    <t>113307123.S</t>
  </si>
  <si>
    <t>Odstránenie podkladu v ploche do 200 m2 z kameniva hrubého drveného, hr.200 do 300 mm,  -0,40000t</t>
  </si>
  <si>
    <t>znížená</t>
  </si>
  <si>
    <t>115101200.S</t>
  </si>
  <si>
    <t>Čerpanie vody na dopravnú výšku do 10 m s priemerným prítokom litrov za minútu do 100 l</t>
  </si>
  <si>
    <t>hod</t>
  </si>
  <si>
    <t>2022164110</t>
  </si>
  <si>
    <t>115101300.S</t>
  </si>
  <si>
    <t>Pohotovosť záložnej čerpacej súpravy pre výšku do 10 m, s prítokom litrov za minútu do 100 l</t>
  </si>
  <si>
    <t>den</t>
  </si>
  <si>
    <t>-1454209011</t>
  </si>
  <si>
    <t>121101202.S</t>
  </si>
  <si>
    <t>Odstránenie lesnej hrabanky, akákoľvek hrúbka vrstvy nad 1000 m2</t>
  </si>
  <si>
    <t>1801844748</t>
  </si>
  <si>
    <t>111101101</t>
  </si>
  <si>
    <t>Odstránenie travín a tŕstia s príp. premiestnením a uložením na hromady do 50 m, pri celkovej ploche do 1000m2</t>
  </si>
  <si>
    <t>111201102</t>
  </si>
  <si>
    <t>Odstránenie krovín a stromov s koreňom s priemerom kmeňa do 100 mm, nad 1000 do 10000 m2</t>
  </si>
  <si>
    <t>132201101.S</t>
  </si>
  <si>
    <t>Výkop ryhy do šírky 600 mm v horn.3 do 100 m3</t>
  </si>
  <si>
    <t>m3</t>
  </si>
  <si>
    <t>132201109.S</t>
  </si>
  <si>
    <t>Príplatok k cene za lepivosť pri hĺbení rýh šírky do 600 mm zapažených i nezapažených s urovnaním dna v hornine 3</t>
  </si>
  <si>
    <t>132201202.S</t>
  </si>
  <si>
    <t xml:space="preserve">Výkop ryhy šírky 600-2000mm horn.3 od 100 do 1000 m3   </t>
  </si>
  <si>
    <t>132201209.S</t>
  </si>
  <si>
    <t xml:space="preserve">Príplatok k cenám za lepivosť pri hĺbení rýh š. nad 600 do 2 000 mm zapaž. i nezapažených, s urovnaním dna v hornine 3   </t>
  </si>
  <si>
    <t>122201103.S</t>
  </si>
  <si>
    <t>Odkopávka a prekopávka nezapažená v hornine 3, nad 1000 do 10000 m3</t>
  </si>
  <si>
    <t>122201109.S</t>
  </si>
  <si>
    <t>Odkopávky a prekopávky nezapažené. Príplatok k cenám za lepivosť horniny 3</t>
  </si>
  <si>
    <t>162501122.S</t>
  </si>
  <si>
    <t>Vodorovné premiestnenie výkopku po spevnenej ceste z horniny tr.1-4, nad 100 do 1000 m3 na vzdialenosť do 3000 m</t>
  </si>
  <si>
    <t>162501123.S</t>
  </si>
  <si>
    <t>Vodorovné premiestnenie výkopku po spevnenej ceste z horniny tr.1-4, nad 100 do 1000 m3, príplatok k cene za každých ďalšich a začatých 1000 m</t>
  </si>
  <si>
    <t>171209002.S</t>
  </si>
  <si>
    <t>Poplatok za skládku - zemina a kamenivo (17 05) ostatné</t>
  </si>
  <si>
    <t>t</t>
  </si>
  <si>
    <t>323674739</t>
  </si>
  <si>
    <t>174101001.S</t>
  </si>
  <si>
    <t>Zásyp sypaninou so zhutnením jám, šachiet, rýh, zárezov alebo okolo objektov do 100 m3</t>
  </si>
  <si>
    <t>30</t>
  </si>
  <si>
    <t>175101101.S</t>
  </si>
  <si>
    <t>Obsyp potrubia sypaninou z vhodných hornín 1 až 4 bez prehodenia sypaniny</t>
  </si>
  <si>
    <t>32</t>
  </si>
  <si>
    <t>M</t>
  </si>
  <si>
    <t>583310003200.S</t>
  </si>
  <si>
    <t>Štrkopiesok frakcia 0-32 mm</t>
  </si>
  <si>
    <t>34</t>
  </si>
  <si>
    <t>181101102.S</t>
  </si>
  <si>
    <t>Úprava pláne v zárezoch v hornine 1-4 so zhutnením</t>
  </si>
  <si>
    <t>36</t>
  </si>
  <si>
    <t xml:space="preserve">Zakladanie   </t>
  </si>
  <si>
    <t>211971121.S</t>
  </si>
  <si>
    <t>Zhotovenie vrstvy z geotextílie na upravenom povrchu sklon do 1 : 5 , šírky od 0 do 3 m</t>
  </si>
  <si>
    <t>38</t>
  </si>
  <si>
    <t>693110002000.S</t>
  </si>
  <si>
    <t>Geotextília polypropylénová netkaná 400 g/m2</t>
  </si>
  <si>
    <t>40</t>
  </si>
  <si>
    <t xml:space="preserve">Zvislé a kompletné konštrukcie   </t>
  </si>
  <si>
    <t>317321120</t>
  </si>
  <si>
    <t>Mostové rímsy z betónu železového triedy C 30/37</t>
  </si>
  <si>
    <t>42</t>
  </si>
  <si>
    <t>317353121</t>
  </si>
  <si>
    <t>Debnenie mostových ríms všetkých tvarov - zhotovenie</t>
  </si>
  <si>
    <t>44</t>
  </si>
  <si>
    <t>317353221</t>
  </si>
  <si>
    <t>Debnenie mostových ríms všetkých tvarov - odstránenie</t>
  </si>
  <si>
    <t>46</t>
  </si>
  <si>
    <t>317361216</t>
  </si>
  <si>
    <t>Výstuž mostových ríms z betonárskej ocele 10 505</t>
  </si>
  <si>
    <t>48</t>
  </si>
  <si>
    <t>348171211.S</t>
  </si>
  <si>
    <t>Osadzovanie zábradlia oceľového na múroch a valoch, vrátane spojenia dielcov, hmotnosti do 100 kg/m</t>
  </si>
  <si>
    <t>50</t>
  </si>
  <si>
    <t>5534660000</t>
  </si>
  <si>
    <t>Zábradlie oceľové vč. povrchovej úpravy a kotviaceho materiálu</t>
  </si>
  <si>
    <t>52</t>
  </si>
  <si>
    <t xml:space="preserve">Vodorovné konštrukcie   </t>
  </si>
  <si>
    <t>29</t>
  </si>
  <si>
    <t>451571221</t>
  </si>
  <si>
    <t>Podklad pre dlažbu zo štrkopiesku, hr. do 100 mm</t>
  </si>
  <si>
    <t>54</t>
  </si>
  <si>
    <t>465511522</t>
  </si>
  <si>
    <t>Dlažba kladená do malty s vyplnením škár maltou MC 10 nad.20 m2, 150mm</t>
  </si>
  <si>
    <t>56</t>
  </si>
  <si>
    <t>31</t>
  </si>
  <si>
    <t>5838075000</t>
  </si>
  <si>
    <t>Kameň lomový upravený tr1 pre dlažbu hrúbky 20cm</t>
  </si>
  <si>
    <t>58</t>
  </si>
  <si>
    <t>Pol1</t>
  </si>
  <si>
    <t>Betónový prah 300*1000</t>
  </si>
  <si>
    <t>60</t>
  </si>
  <si>
    <t xml:space="preserve">Komunikácie   </t>
  </si>
  <si>
    <t>35</t>
  </si>
  <si>
    <t>564760211.S</t>
  </si>
  <si>
    <t>Podklad alebo kryt z kameniva hrubého drveného veľ. 16-32 mm s rozprestretím a zhutnením hr. 200 mm</t>
  </si>
  <si>
    <t>66</t>
  </si>
  <si>
    <t>564851111.S</t>
  </si>
  <si>
    <t>Podklad zo štrkodrviny s rozprestretím a zhutnením, po zhutnení hr. 100 mm</t>
  </si>
  <si>
    <t>70</t>
  </si>
  <si>
    <t>37</t>
  </si>
  <si>
    <t>68</t>
  </si>
  <si>
    <t>564871111.S</t>
  </si>
  <si>
    <t>Podklad zo štrkodrviny s rozprestretím a zhutnením, po zhutnení hr. 250 mm</t>
  </si>
  <si>
    <t>567133113.S</t>
  </si>
  <si>
    <t>Podklad z kameniva stmeleného cementom s rozprestretím a zhutnením, CBGM C 5/6, po zhutnení hr. 180 mm</t>
  </si>
  <si>
    <t>565171221.S</t>
  </si>
  <si>
    <t>Podklad z asfaltového betónu AC 22 P s rozprestretím a zhutnením v pruhu š. nad 3 m, po zhutnení hr. 80 mm</t>
  </si>
  <si>
    <t>72</t>
  </si>
  <si>
    <t>39</t>
  </si>
  <si>
    <t>573131102.S</t>
  </si>
  <si>
    <t>Postrek asfaltový infiltračný s posypom kamenivom z cestnej emulzie v množstve 1,00 kg/m2</t>
  </si>
  <si>
    <t>74</t>
  </si>
  <si>
    <t>573231107.S</t>
  </si>
  <si>
    <t>Postrek asfaltový spojovací bez posypu kamenivom z cestnej emulzie v množstve 0,50 kg/m2</t>
  </si>
  <si>
    <t>76</t>
  </si>
  <si>
    <t>41</t>
  </si>
  <si>
    <t>577144241.S</t>
  </si>
  <si>
    <t>Asfaltový betón vrstva obrusná AC 16 O v pruhu š. nad 3 m z nemodifik. asfaltu tr. II, po zhutnení hr. 40 mm</t>
  </si>
  <si>
    <t>78</t>
  </si>
  <si>
    <t>569711112</t>
  </si>
  <si>
    <t>Spevnenie krajníc alebo komun. pre peších s rozpr. a zhutnením, kamenivom drveným hr. 150 mm</t>
  </si>
  <si>
    <t>84</t>
  </si>
  <si>
    <t>45</t>
  </si>
  <si>
    <t>899203111</t>
  </si>
  <si>
    <t>Osadenie mreže</t>
  </si>
  <si>
    <t>ks</t>
  </si>
  <si>
    <t>86</t>
  </si>
  <si>
    <t>5524262000</t>
  </si>
  <si>
    <t>Mreža 1200/1200 + kotviaci materiál</t>
  </si>
  <si>
    <t>88</t>
  </si>
  <si>
    <t>Úpravy povrchov, podlahy, osadenie</t>
  </si>
  <si>
    <t>47</t>
  </si>
  <si>
    <t>627471132.S</t>
  </si>
  <si>
    <t>Reprofilácia podhľadov sanačnou maltou, 1 vrstva hr. 20 mm</t>
  </si>
  <si>
    <t>1165925014</t>
  </si>
  <si>
    <t>627471152.S</t>
  </si>
  <si>
    <t>Reprofilácia stien sanačnou maltou, 1 vrstva hr. 20 mm</t>
  </si>
  <si>
    <t>1243489053</t>
  </si>
  <si>
    <t xml:space="preserve">Ostatné konštrukcie a práce-búranie   </t>
  </si>
  <si>
    <t>919411121.S</t>
  </si>
  <si>
    <t>Čelo priepustu z betónu prostého z rúr DN 600 až DN 800 mm</t>
  </si>
  <si>
    <t>-1603591360</t>
  </si>
  <si>
    <t>51</t>
  </si>
  <si>
    <t>966008112.S</t>
  </si>
  <si>
    <t>Búranie rúrového priepustu, z rúr DN 300 do 500 mm,  -0,98000t</t>
  </si>
  <si>
    <t>170042347</t>
  </si>
  <si>
    <t>53</t>
  </si>
  <si>
    <t>979081111.S</t>
  </si>
  <si>
    <t>Odvoz sutiny a vybúraných hmôt na skládku do 1 km</t>
  </si>
  <si>
    <t>-621740175</t>
  </si>
  <si>
    <t>979081121.S</t>
  </si>
  <si>
    <t>Odvoz sutiny a vybúraných hmôt na skládku za každý ďalší 1 km</t>
  </si>
  <si>
    <t>218402612</t>
  </si>
  <si>
    <t>55</t>
  </si>
  <si>
    <t>979089012.S</t>
  </si>
  <si>
    <t>Poplatok za skládku - betón, tehly, dlaždice (17 01) ostatné</t>
  </si>
  <si>
    <t>-1433619739</t>
  </si>
  <si>
    <t>979089211</t>
  </si>
  <si>
    <t xml:space="preserve">Poplatok za skladovanie - bitúmenové zmesi, uhoľný decht, dechtové výrobky (17 03), nebezpečné   </t>
  </si>
  <si>
    <t>919413112</t>
  </si>
  <si>
    <t>Vtoková nádržka z betónu prostého tr. C 12/15 priepustu z rúr do DN 800</t>
  </si>
  <si>
    <t>98</t>
  </si>
  <si>
    <t xml:space="preserve">Rúrové vedenie   </t>
  </si>
  <si>
    <t>57</t>
  </si>
  <si>
    <t>185851111.S</t>
  </si>
  <si>
    <t>Dovoz vody pre zálievku rastlín na vzdialenosť do 6000 m</t>
  </si>
  <si>
    <t>1959489087</t>
  </si>
  <si>
    <t>185851119.S</t>
  </si>
  <si>
    <t>Dovoz vody pre zálievku rastlín. Príplatok k cene za každých ďalších aj začatých 1000 m</t>
  </si>
  <si>
    <t>-388789603</t>
  </si>
  <si>
    <t>59</t>
  </si>
  <si>
    <t>919514112</t>
  </si>
  <si>
    <t>Zhotovenie priepustu z rúr železobetónových DN 600</t>
  </si>
  <si>
    <t>100</t>
  </si>
  <si>
    <t>592220000400</t>
  </si>
  <si>
    <t>Rúra železobetónová, DN 600, dĺ. 1000</t>
  </si>
  <si>
    <t>102</t>
  </si>
  <si>
    <t>63</t>
  </si>
  <si>
    <t>919535556</t>
  </si>
  <si>
    <t>Obetónovanie rúrového priepustu betónom jednoduchým tr. C 12/15</t>
  </si>
  <si>
    <t>108</t>
  </si>
  <si>
    <t>64</t>
  </si>
  <si>
    <t>592270002210</t>
  </si>
  <si>
    <t>Tvárnica priekopová</t>
  </si>
  <si>
    <t>110</t>
  </si>
  <si>
    <t>935111211</t>
  </si>
  <si>
    <t>Kladenie dlažby betónovej komunikácií pre peších do lôžka z cementovej malty</t>
  </si>
  <si>
    <t>114</t>
  </si>
  <si>
    <t>918101112.S</t>
  </si>
  <si>
    <t>Lôžko pod tvarnicu priekopovú alebo melioračno-betónovú dosku z betónu prostého tr. C 12/15</t>
  </si>
  <si>
    <t>126</t>
  </si>
  <si>
    <t>67</t>
  </si>
  <si>
    <t>938909612</t>
  </si>
  <si>
    <t>Odstránenie blata, prachu alebo hlineného nánosu, z povrchu podkladu alebo krytu štrkového (10% z plochy)</t>
  </si>
  <si>
    <t>116</t>
  </si>
  <si>
    <t>938909612.1</t>
  </si>
  <si>
    <t>Odstránenie nanosu na krajniciach priem. hr. 100-200mm, -0,25200t</t>
  </si>
  <si>
    <t>118</t>
  </si>
  <si>
    <t>Čistenie žľabov, -0,02 t</t>
  </si>
  <si>
    <t>69</t>
  </si>
  <si>
    <t>938909422</t>
  </si>
  <si>
    <t>Čistenie priekop komunikácií strojne priekopovým rýpadlom o objeme nánosu nad 0,15 do 0,30 m3/m, -0,19460 t</t>
  </si>
  <si>
    <t>120</t>
  </si>
  <si>
    <t>938909762</t>
  </si>
  <si>
    <t>Čistenie priepustov strojne tlakovou vodou priemeru nad 0,5 do 1,0 m, hrúbka nánosu do 50%, -0,11775 t</t>
  </si>
  <si>
    <t>122</t>
  </si>
  <si>
    <t>71</t>
  </si>
  <si>
    <t>938909789</t>
  </si>
  <si>
    <t>Príplatok k cene čistenia priepustov tlakovou vodou za každý ďalší 1 m dĺžky nad 8 m, -0,07790 t</t>
  </si>
  <si>
    <t>124</t>
  </si>
  <si>
    <t>952901111.S</t>
  </si>
  <si>
    <t>Vyčistenie a vypratanie staveniska</t>
  </si>
  <si>
    <t>914001101</t>
  </si>
  <si>
    <t xml:space="preserve">Dočasné dopravné značenie – prenajom   </t>
  </si>
  <si>
    <t>kpl</t>
  </si>
  <si>
    <t>99</t>
  </si>
  <si>
    <t>Presun hmôt HSV</t>
  </si>
  <si>
    <t>75</t>
  </si>
  <si>
    <t>998224211.S</t>
  </si>
  <si>
    <t>Presun hmôt pre plochy letísk s krytom monolitickým betónovým (822 3.4) akejkoľvek dĺžky objektu</t>
  </si>
  <si>
    <t>588112383</t>
  </si>
  <si>
    <t xml:space="preserve">Práce a dodávky PSV   </t>
  </si>
  <si>
    <t>711</t>
  </si>
  <si>
    <t xml:space="preserve">Izolácie proti vode a vlhkosti   </t>
  </si>
  <si>
    <t>711112001</t>
  </si>
  <si>
    <t>Zhotovenie  izolácie proti zemnej vlhkosti zvislá penetračným náterom za studena</t>
  </si>
  <si>
    <t>128</t>
  </si>
  <si>
    <t>77</t>
  </si>
  <si>
    <t>1116315000</t>
  </si>
  <si>
    <t>Lak asfaltový ALP-PENETRAL v sudoch</t>
  </si>
  <si>
    <t>130</t>
  </si>
  <si>
    <t>711122131</t>
  </si>
  <si>
    <t>Zhotovenie  izolácie proti zemnej vlhkosti zvislá asfaltovým náterom za tepla</t>
  </si>
  <si>
    <t>132</t>
  </si>
  <si>
    <t>79</t>
  </si>
  <si>
    <t>1116134400</t>
  </si>
  <si>
    <t>Asfalt izolačný AOSI 85/40 v sudoch do 250kg</t>
  </si>
  <si>
    <t>134</t>
  </si>
  <si>
    <t>80</t>
  </si>
  <si>
    <t>711491272</t>
  </si>
  <si>
    <t>Zhotovenie ochrannej vrstvy izolácie z textílie na ploche zvislej, pre izolácie proti zemnej vlhkosti, podpovrchovej a tlakovej vode</t>
  </si>
  <si>
    <t>136</t>
  </si>
  <si>
    <t>81</t>
  </si>
  <si>
    <t>6936651300</t>
  </si>
  <si>
    <t>Geotextília netkaná polypropylénová 500g/m2</t>
  </si>
  <si>
    <t>138</t>
  </si>
  <si>
    <t>VRN03</t>
  </si>
  <si>
    <t>Geodetické práce</t>
  </si>
  <si>
    <t>Geodetické práce - vykonávané pred výstavbou určenie vytyčovacej siete, vytýčenie staveniska, staveb. objektu</t>
  </si>
  <si>
    <t>eur</t>
  </si>
  <si>
    <t>Geodetické práce - vykonávané po výstavbe zameranie skutočného vyhotovenia stavby</t>
  </si>
  <si>
    <t>VRN04</t>
  </si>
  <si>
    <t>Projektové práce</t>
  </si>
  <si>
    <t>Projektové práce - stavebná časť (stavebné objekty vrátane ich technického vybavenia). náklady na dokumentáciu skutočného zhotovenia stavby</t>
  </si>
  <si>
    <t>VRN06</t>
  </si>
  <si>
    <t>Zariadenie staveniska</t>
  </si>
  <si>
    <t>600021</t>
  </si>
  <si>
    <t>300016</t>
  </si>
  <si>
    <t>300031</t>
  </si>
  <si>
    <t>400022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</si>
</sst>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_*\€;\-#,##0_*\€"/>
    <numFmt numFmtId="165" formatCode="#,##0.000"/>
    <numFmt numFmtId="166" formatCode="#,##0.00000"/>
  </numFmts>
  <fonts count="37">
    <font>
      <sz val="8"/>
      <name val="Arial CE"/>
      <family val="2"/>
      <charset val="1"/>
    </font>
    <font>
      <sz val="10"/>
      <name val="Arial"/>
      <charset val="238"/>
    </font>
    <font>
      <sz val="8"/>
      <name val="MS Sans Serif"/>
      <charset val="1"/>
    </font>
    <font>
      <sz val="10"/>
      <name val="Arial"/>
      <charset val="1"/>
    </font>
    <font>
      <b/>
      <sz val="14"/>
      <color rgb="FFFF0000"/>
      <name val="Arial CE"/>
      <charset val="238"/>
    </font>
    <font>
      <b/>
      <i/>
      <sz val="7"/>
      <color rgb="FFFF0000"/>
      <name val="Arial CE"/>
      <charset val="238"/>
    </font>
    <font>
      <sz val="8"/>
      <name val="Arial"/>
      <charset val="238"/>
    </font>
    <font>
      <b/>
      <sz val="8"/>
      <name val="Arial CE"/>
      <charset val="238"/>
    </font>
    <font>
      <b/>
      <sz val="8"/>
      <name val="Arial"/>
      <charset val="238"/>
    </font>
    <font>
      <sz val="8"/>
      <name val="Arial CE"/>
      <charset val="238"/>
    </font>
    <font>
      <b/>
      <sz val="10"/>
      <name val="Arial"/>
      <charset val="238"/>
    </font>
    <font>
      <sz val="10"/>
      <name val="Arial CE"/>
      <charset val="238"/>
    </font>
    <font>
      <b/>
      <sz val="10"/>
      <name val="Arial CE"/>
      <charset val="238"/>
    </font>
    <font>
      <b/>
      <sz val="12"/>
      <name val="Arial"/>
      <charset val="238"/>
    </font>
    <font>
      <b/>
      <sz val="7"/>
      <name val="Arial"/>
      <charset val="238"/>
    </font>
    <font>
      <sz val="7"/>
      <name val="Arial CE"/>
      <charset val="238"/>
    </font>
    <font>
      <sz val="7"/>
      <name val="Arial"/>
      <charset val="238"/>
    </font>
    <font>
      <b/>
      <sz val="14"/>
      <name val="Arial CE"/>
      <family val="2"/>
      <charset val="238"/>
    </font>
    <font>
      <sz val="10"/>
      <color rgb="FF969696"/>
      <name val="Arial CE"/>
      <family val="2"/>
      <charset val="238"/>
    </font>
    <font>
      <b/>
      <sz val="12"/>
      <color rgb="FF000000"/>
      <name val="Arial CE"/>
      <family val="2"/>
      <charset val="1"/>
    </font>
    <font>
      <b/>
      <sz val="11"/>
      <name val="Arial CE"/>
      <family val="2"/>
      <charset val="238"/>
    </font>
    <font>
      <sz val="9"/>
      <name val="Arial CE"/>
      <family val="2"/>
      <charset val="1"/>
    </font>
    <font>
      <sz val="10"/>
      <name val="Arial CE"/>
      <family val="2"/>
      <charset val="238"/>
    </font>
    <font>
      <sz val="9"/>
      <name val="Arial CE"/>
      <family val="2"/>
      <charset val="238"/>
    </font>
    <font>
      <sz val="9"/>
      <color rgb="FF969696"/>
      <name val="Arial CE"/>
      <family val="2"/>
      <charset val="238"/>
    </font>
    <font>
      <b/>
      <sz val="12"/>
      <color rgb="FF960000"/>
      <name val="Arial CE"/>
      <family val="2"/>
      <charset val="238"/>
    </font>
    <font>
      <sz val="8"/>
      <color rgb="FF960000"/>
      <name val="Arial CE"/>
      <family val="2"/>
      <charset val="238"/>
    </font>
    <font>
      <b/>
      <sz val="8"/>
      <name val="Arial CE"/>
      <family val="2"/>
      <charset val="238"/>
    </font>
    <font>
      <b/>
      <sz val="8"/>
      <color rgb="FF003366"/>
      <name val="Arial CE"/>
      <family val="2"/>
      <charset val="238"/>
    </font>
    <font>
      <b/>
      <sz val="12"/>
      <color rgb="FF003366"/>
      <name val="Arial CE"/>
      <family val="2"/>
      <charset val="238"/>
    </font>
    <font>
      <sz val="8"/>
      <color rgb="FF003366"/>
      <name val="Arial CE"/>
      <family val="2"/>
      <charset val="238"/>
    </font>
    <font>
      <sz val="10"/>
      <color rgb="FF003366"/>
      <name val="Arial CE"/>
      <family val="2"/>
      <charset val="238"/>
    </font>
    <font>
      <i/>
      <sz val="9"/>
      <color rgb="FF0000FF"/>
      <name val="Arial CE"/>
      <family val="2"/>
      <charset val="238"/>
    </font>
    <font>
      <i/>
      <sz val="8"/>
      <color rgb="FF0000FF"/>
      <name val="Arial CE"/>
      <family val="2"/>
      <charset val="238"/>
    </font>
    <font>
      <sz val="10"/>
      <color rgb="FF003366"/>
      <name val="Arial CE"/>
      <charset val="1"/>
    </font>
    <font>
      <sz val="8"/>
      <color rgb="FF003366"/>
      <name val="Arial CE"/>
      <charset val="1"/>
    </font>
    <font>
      <sz val="8"/>
      <color rgb="FFFF0000"/>
      <name val="Arial CE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D2D2D2"/>
        <bgColor rgb="FFC0C0C0"/>
      </patternFill>
    </fill>
  </fills>
  <borders count="68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/>
      <top style="thin">
        <color auto="1"/>
      </top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/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hair">
        <color auto="1"/>
      </left>
      <right/>
      <top/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/>
      <right style="hair">
        <color auto="1"/>
      </right>
      <top style="thin">
        <color auto="1"/>
      </top>
      <bottom/>
      <diagonal/>
    </border>
    <border>
      <left style="hair">
        <color auto="1"/>
      </left>
      <right/>
      <top style="thin">
        <color auto="1"/>
      </top>
      <bottom/>
      <diagonal/>
    </border>
    <border>
      <left/>
      <right style="hair">
        <color auto="1"/>
      </right>
      <top/>
      <bottom/>
      <diagonal/>
    </border>
    <border>
      <left style="hair">
        <color auto="1"/>
      </left>
      <right/>
      <top/>
      <bottom/>
      <diagonal/>
    </border>
    <border>
      <left style="thin">
        <color auto="1"/>
      </left>
      <right/>
      <top/>
      <bottom style="hair">
        <color auto="1"/>
      </bottom>
      <diagonal/>
    </border>
    <border>
      <left/>
      <right style="thin">
        <color auto="1"/>
      </right>
      <top/>
      <bottom style="hair">
        <color auto="1"/>
      </bottom>
      <diagonal/>
    </border>
    <border>
      <left style="thin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/>
      <right style="thin">
        <color auto="1"/>
      </right>
      <top style="hair">
        <color auto="1"/>
      </top>
      <bottom/>
      <diagonal/>
    </border>
    <border>
      <left/>
      <right style="hair">
        <color auto="1"/>
      </right>
      <top/>
      <bottom style="thin">
        <color auto="1"/>
      </bottom>
      <diagonal/>
    </border>
    <border>
      <left style="hair">
        <color auto="1"/>
      </left>
      <right/>
      <top/>
      <bottom style="thin">
        <color auto="1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</borders>
  <cellStyleXfs count="1">
    <xf numFmtId="0" fontId="0" fillId="0" borderId="0"/>
  </cellStyleXfs>
  <cellXfs count="230">
    <xf numFmtId="0" fontId="0" fillId="0" borderId="0" xfId="0"/>
    <xf numFmtId="0" fontId="10" fillId="0" borderId="7" xfId="0" applyFont="1" applyBorder="1" applyAlignment="1">
      <alignment horizontal="left" vertical="center"/>
    </xf>
    <xf numFmtId="0" fontId="6" fillId="0" borderId="18" xfId="0" applyFont="1" applyBorder="1" applyAlignment="1">
      <alignment horizontal="left" vertical="center"/>
    </xf>
    <xf numFmtId="0" fontId="9" fillId="0" borderId="18" xfId="0" applyFont="1" applyBorder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0" fillId="0" borderId="0" xfId="0" applyAlignment="1">
      <alignment horizontal="left" vertical="top"/>
    </xf>
    <xf numFmtId="0" fontId="2" fillId="0" borderId="0" xfId="0" applyFont="1" applyAlignment="1">
      <alignment horizontal="left" vertical="top"/>
    </xf>
    <xf numFmtId="0" fontId="3" fillId="0" borderId="1" xfId="0" applyFont="1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4" xfId="0" applyFont="1" applyBorder="1" applyAlignment="1">
      <alignment horizontal="left"/>
    </xf>
    <xf numFmtId="0" fontId="1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1" fillId="0" borderId="5" xfId="0" applyFont="1" applyBorder="1" applyAlignment="1">
      <alignment horizontal="left"/>
    </xf>
    <xf numFmtId="0" fontId="1" fillId="0" borderId="6" xfId="0" applyFont="1" applyBorder="1" applyAlignment="1">
      <alignment horizontal="left"/>
    </xf>
    <xf numFmtId="0" fontId="1" fillId="0" borderId="7" xfId="0" applyFont="1" applyBorder="1" applyAlignment="1">
      <alignment horizontal="left"/>
    </xf>
    <xf numFmtId="0" fontId="1" fillId="0" borderId="8" xfId="0" applyFont="1" applyBorder="1" applyAlignment="1">
      <alignment horizontal="left"/>
    </xf>
    <xf numFmtId="0" fontId="6" fillId="0" borderId="1" xfId="0" applyFont="1" applyBorder="1" applyAlignment="1">
      <alignment horizontal="left" vertical="center"/>
    </xf>
    <xf numFmtId="0" fontId="6" fillId="0" borderId="2" xfId="0" applyFont="1" applyBorder="1" applyAlignment="1">
      <alignment horizontal="left" vertical="center"/>
    </xf>
    <xf numFmtId="0" fontId="6" fillId="0" borderId="3" xfId="0" applyFont="1" applyBorder="1" applyAlignment="1">
      <alignment horizontal="left" vertical="center"/>
    </xf>
    <xf numFmtId="0" fontId="6" fillId="0" borderId="4" xfId="0" applyFont="1" applyBorder="1" applyAlignment="1">
      <alignment horizontal="left" vertical="center"/>
    </xf>
    <xf numFmtId="0" fontId="6" fillId="0" borderId="10" xfId="0" applyFont="1" applyBorder="1" applyAlignment="1">
      <alignment horizontal="left" vertical="center"/>
    </xf>
    <xf numFmtId="0" fontId="6" fillId="0" borderId="11" xfId="0" applyFont="1" applyBorder="1" applyAlignment="1">
      <alignment horizontal="left" vertical="center"/>
    </xf>
    <xf numFmtId="0" fontId="6" fillId="0" borderId="5" xfId="0" applyFont="1" applyBorder="1" applyAlignment="1">
      <alignment horizontal="left" vertical="center"/>
    </xf>
    <xf numFmtId="0" fontId="6" fillId="0" borderId="13" xfId="0" applyFont="1" applyBorder="1" applyAlignment="1">
      <alignment horizontal="left" vertical="center"/>
    </xf>
    <xf numFmtId="0" fontId="6" fillId="0" borderId="14" xfId="0" applyFont="1" applyBorder="1" applyAlignment="1">
      <alignment horizontal="left" vertical="center"/>
    </xf>
    <xf numFmtId="0" fontId="9" fillId="0" borderId="16" xfId="0" applyFont="1" applyBorder="1" applyAlignment="1">
      <alignment horizontal="left" vertical="center"/>
    </xf>
    <xf numFmtId="0" fontId="6" fillId="0" borderId="17" xfId="0" applyFont="1" applyBorder="1" applyAlignment="1">
      <alignment horizontal="left" vertical="center"/>
    </xf>
    <xf numFmtId="0" fontId="8" fillId="0" borderId="4" xfId="0" applyFont="1" applyBorder="1" applyAlignment="1">
      <alignment horizontal="left" vertical="center"/>
    </xf>
    <xf numFmtId="0" fontId="6" fillId="0" borderId="0" xfId="0" applyFont="1" applyAlignment="1">
      <alignment horizontal="left" vertical="top"/>
    </xf>
    <xf numFmtId="0" fontId="6" fillId="0" borderId="4" xfId="0" applyFont="1" applyBorder="1" applyAlignment="1">
      <alignment horizontal="left" vertical="top"/>
    </xf>
    <xf numFmtId="0" fontId="9" fillId="0" borderId="18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left" vertical="top"/>
    </xf>
    <xf numFmtId="0" fontId="6" fillId="0" borderId="9" xfId="0" applyFont="1" applyBorder="1" applyAlignment="1">
      <alignment horizontal="left" vertical="center"/>
    </xf>
    <xf numFmtId="0" fontId="6" fillId="0" borderId="15" xfId="0" applyFont="1" applyBorder="1" applyAlignment="1">
      <alignment horizontal="left" vertical="center"/>
    </xf>
    <xf numFmtId="0" fontId="6" fillId="0" borderId="6" xfId="0" applyFont="1" applyBorder="1" applyAlignment="1">
      <alignment horizontal="left" vertical="center"/>
    </xf>
    <xf numFmtId="0" fontId="6" fillId="0" borderId="7" xfId="0" applyFont="1" applyBorder="1" applyAlignment="1">
      <alignment horizontal="left" vertical="center"/>
    </xf>
    <xf numFmtId="0" fontId="6" fillId="0" borderId="8" xfId="0" applyFont="1" applyBorder="1" applyAlignment="1">
      <alignment horizontal="left" vertical="center"/>
    </xf>
    <xf numFmtId="0" fontId="1" fillId="0" borderId="19" xfId="0" applyFont="1" applyBorder="1" applyAlignment="1">
      <alignment horizontal="left" vertical="center"/>
    </xf>
    <xf numFmtId="0" fontId="1" fillId="0" borderId="20" xfId="0" applyFont="1" applyBorder="1" applyAlignment="1">
      <alignment horizontal="left" vertical="center"/>
    </xf>
    <xf numFmtId="0" fontId="10" fillId="0" borderId="20" xfId="0" applyFont="1" applyBorder="1" applyAlignment="1">
      <alignment horizontal="left" vertical="center"/>
    </xf>
    <xf numFmtId="0" fontId="1" fillId="0" borderId="7" xfId="0" applyFont="1" applyBorder="1" applyAlignment="1">
      <alignment horizontal="left" vertical="center"/>
    </xf>
    <xf numFmtId="0" fontId="1" fillId="0" borderId="21" xfId="0" applyFont="1" applyBorder="1" applyAlignment="1">
      <alignment horizontal="left" vertical="center"/>
    </xf>
    <xf numFmtId="0" fontId="1" fillId="0" borderId="22" xfId="0" applyFont="1" applyBorder="1" applyAlignment="1">
      <alignment horizontal="left" vertical="center"/>
    </xf>
    <xf numFmtId="0" fontId="1" fillId="0" borderId="23" xfId="0" applyFont="1" applyBorder="1" applyAlignment="1">
      <alignment horizontal="left" vertical="center"/>
    </xf>
    <xf numFmtId="0" fontId="1" fillId="0" borderId="24" xfId="0" applyFont="1" applyBorder="1" applyAlignment="1">
      <alignment horizontal="left" vertical="center"/>
    </xf>
    <xf numFmtId="0" fontId="1" fillId="0" borderId="25" xfId="0" applyFont="1" applyBorder="1" applyAlignment="1">
      <alignment horizontal="left" vertical="center"/>
    </xf>
    <xf numFmtId="0" fontId="11" fillId="0" borderId="24" xfId="0" applyFont="1" applyBorder="1" applyAlignment="1">
      <alignment horizontal="left" vertical="center"/>
    </xf>
    <xf numFmtId="0" fontId="11" fillId="0" borderId="25" xfId="0" applyFont="1" applyBorder="1" applyAlignment="1">
      <alignment horizontal="left" vertical="center"/>
    </xf>
    <xf numFmtId="0" fontId="1" fillId="0" borderId="26" xfId="0" applyFont="1" applyBorder="1" applyAlignment="1">
      <alignment horizontal="left" vertical="center"/>
    </xf>
    <xf numFmtId="0" fontId="1" fillId="0" borderId="27" xfId="0" applyFont="1" applyBorder="1" applyAlignment="1">
      <alignment horizontal="left" vertical="center"/>
    </xf>
    <xf numFmtId="0" fontId="1" fillId="0" borderId="28" xfId="0" applyFont="1" applyBorder="1" applyAlignment="1">
      <alignment horizontal="left" vertical="center"/>
    </xf>
    <xf numFmtId="0" fontId="1" fillId="0" borderId="29" xfId="0" applyFont="1" applyBorder="1" applyAlignment="1">
      <alignment horizontal="left" vertical="center"/>
    </xf>
    <xf numFmtId="37" fontId="1" fillId="0" borderId="30" xfId="0" applyNumberFormat="1" applyFont="1" applyBorder="1" applyAlignment="1">
      <alignment horizontal="right" vertical="center"/>
    </xf>
    <xf numFmtId="37" fontId="1" fillId="0" borderId="31" xfId="0" applyNumberFormat="1" applyFont="1" applyBorder="1" applyAlignment="1">
      <alignment horizontal="right" vertical="center"/>
    </xf>
    <xf numFmtId="0" fontId="1" fillId="0" borderId="30" xfId="0" applyFont="1" applyBorder="1" applyAlignment="1">
      <alignment horizontal="left" vertical="center"/>
    </xf>
    <xf numFmtId="0" fontId="1" fillId="0" borderId="31" xfId="0" applyFont="1" applyBorder="1" applyAlignment="1">
      <alignment horizontal="left" vertical="center"/>
    </xf>
    <xf numFmtId="164" fontId="1" fillId="0" borderId="31" xfId="0" applyNumberFormat="1" applyFont="1" applyBorder="1" applyAlignment="1">
      <alignment horizontal="right" vertical="center"/>
    </xf>
    <xf numFmtId="37" fontId="1" fillId="0" borderId="29" xfId="0" applyNumberFormat="1" applyFont="1" applyBorder="1" applyAlignment="1">
      <alignment horizontal="right" vertical="center"/>
    </xf>
    <xf numFmtId="0" fontId="1" fillId="0" borderId="32" xfId="0" applyFont="1" applyBorder="1" applyAlignment="1">
      <alignment horizontal="left" vertical="center"/>
    </xf>
    <xf numFmtId="0" fontId="10" fillId="0" borderId="19" xfId="0" applyFont="1" applyBorder="1" applyAlignment="1">
      <alignment horizontal="left" vertical="center"/>
    </xf>
    <xf numFmtId="0" fontId="12" fillId="0" borderId="20" xfId="0" applyFont="1" applyBorder="1" applyAlignment="1">
      <alignment horizontal="left" vertical="center" wrapText="1"/>
    </xf>
    <xf numFmtId="0" fontId="10" fillId="0" borderId="21" xfId="0" applyFont="1" applyBorder="1" applyAlignment="1">
      <alignment horizontal="left" vertical="center"/>
    </xf>
    <xf numFmtId="0" fontId="13" fillId="0" borderId="22" xfId="0" applyFont="1" applyBorder="1" applyAlignment="1">
      <alignment horizontal="left" vertical="center"/>
    </xf>
    <xf numFmtId="0" fontId="10" fillId="0" borderId="24" xfId="0" applyFont="1" applyBorder="1" applyAlignment="1">
      <alignment horizontal="left" vertical="center"/>
    </xf>
    <xf numFmtId="0" fontId="10" fillId="0" borderId="25" xfId="0" applyFont="1" applyBorder="1" applyAlignment="1">
      <alignment horizontal="left" vertical="center"/>
    </xf>
    <xf numFmtId="0" fontId="10" fillId="0" borderId="23" xfId="0" applyFont="1" applyBorder="1" applyAlignment="1">
      <alignment horizontal="left" vertical="center"/>
    </xf>
    <xf numFmtId="0" fontId="14" fillId="0" borderId="27" xfId="0" applyFont="1" applyBorder="1" applyAlignment="1">
      <alignment horizontal="left" vertical="center"/>
    </xf>
    <xf numFmtId="0" fontId="10" fillId="0" borderId="27" xfId="0" applyFont="1" applyBorder="1" applyAlignment="1">
      <alignment horizontal="left" vertical="center"/>
    </xf>
    <xf numFmtId="0" fontId="10" fillId="0" borderId="26" xfId="0" applyFont="1" applyBorder="1" applyAlignment="1">
      <alignment horizontal="left" vertical="center"/>
    </xf>
    <xf numFmtId="0" fontId="6" fillId="0" borderId="33" xfId="0" applyFont="1" applyBorder="1" applyAlignment="1">
      <alignment horizontal="center" vertical="center"/>
    </xf>
    <xf numFmtId="0" fontId="10" fillId="0" borderId="34" xfId="0" applyFont="1" applyBorder="1" applyAlignment="1">
      <alignment horizontal="left" vertical="center"/>
    </xf>
    <xf numFmtId="0" fontId="1" fillId="0" borderId="35" xfId="0" applyFont="1" applyBorder="1" applyAlignment="1">
      <alignment horizontal="left" vertical="center"/>
    </xf>
    <xf numFmtId="0" fontId="6" fillId="0" borderId="36" xfId="0" applyFont="1" applyBorder="1" applyAlignment="1">
      <alignment horizontal="left" vertical="center"/>
    </xf>
    <xf numFmtId="39" fontId="11" fillId="0" borderId="37" xfId="0" applyNumberFormat="1" applyFont="1" applyBorder="1" applyAlignment="1">
      <alignment horizontal="right" vertical="center"/>
    </xf>
    <xf numFmtId="0" fontId="1" fillId="0" borderId="38" xfId="0" applyFont="1" applyBorder="1" applyAlignment="1">
      <alignment horizontal="left" vertical="center"/>
    </xf>
    <xf numFmtId="0" fontId="6" fillId="0" borderId="37" xfId="0" applyFont="1" applyBorder="1" applyAlignment="1">
      <alignment horizontal="left" vertical="center"/>
    </xf>
    <xf numFmtId="0" fontId="1" fillId="0" borderId="39" xfId="0" applyFont="1" applyBorder="1" applyAlignment="1">
      <alignment horizontal="left" vertical="center"/>
    </xf>
    <xf numFmtId="39" fontId="1" fillId="0" borderId="37" xfId="0" applyNumberFormat="1" applyFont="1" applyBorder="1" applyAlignment="1">
      <alignment horizontal="left" vertical="center"/>
    </xf>
    <xf numFmtId="0" fontId="9" fillId="0" borderId="37" xfId="0" applyFont="1" applyBorder="1" applyAlignment="1">
      <alignment horizontal="left" vertical="center"/>
    </xf>
    <xf numFmtId="0" fontId="1" fillId="0" borderId="40" xfId="0" applyFont="1" applyBorder="1" applyAlignment="1">
      <alignment horizontal="left" vertical="center"/>
    </xf>
    <xf numFmtId="2" fontId="15" fillId="0" borderId="40" xfId="0" applyNumberFormat="1" applyFont="1" applyBorder="1" applyAlignment="1">
      <alignment horizontal="right" vertical="center"/>
    </xf>
    <xf numFmtId="0" fontId="10" fillId="0" borderId="41" xfId="0" applyFont="1" applyBorder="1" applyAlignment="1">
      <alignment horizontal="left" vertical="center"/>
    </xf>
    <xf numFmtId="0" fontId="1" fillId="0" borderId="42" xfId="0" applyFont="1" applyBorder="1" applyAlignment="1">
      <alignment horizontal="left" vertical="center"/>
    </xf>
    <xf numFmtId="0" fontId="9" fillId="0" borderId="40" xfId="0" applyFont="1" applyBorder="1" applyAlignment="1">
      <alignment horizontal="left" vertical="center"/>
    </xf>
    <xf numFmtId="0" fontId="6" fillId="0" borderId="43" xfId="0" applyFont="1" applyBorder="1" applyAlignment="1">
      <alignment horizontal="center" vertical="center"/>
    </xf>
    <xf numFmtId="0" fontId="6" fillId="0" borderId="40" xfId="0" applyFont="1" applyBorder="1" applyAlignment="1">
      <alignment horizontal="left" vertical="center"/>
    </xf>
    <xf numFmtId="2" fontId="15" fillId="0" borderId="39" xfId="0" applyNumberFormat="1" applyFont="1" applyBorder="1" applyAlignment="1">
      <alignment horizontal="right" vertical="center"/>
    </xf>
    <xf numFmtId="0" fontId="8" fillId="0" borderId="37" xfId="0" applyFont="1" applyBorder="1" applyAlignment="1">
      <alignment horizontal="left" vertical="center"/>
    </xf>
    <xf numFmtId="0" fontId="6" fillId="0" borderId="44" xfId="0" applyFont="1" applyBorder="1" applyAlignment="1">
      <alignment horizontal="center" vertical="center"/>
    </xf>
    <xf numFmtId="0" fontId="6" fillId="0" borderId="31" xfId="0" applyFont="1" applyBorder="1" applyAlignment="1">
      <alignment horizontal="left" vertical="center"/>
    </xf>
    <xf numFmtId="39" fontId="11" fillId="0" borderId="31" xfId="0" applyNumberFormat="1" applyFont="1" applyBorder="1" applyAlignment="1">
      <alignment horizontal="right" vertical="center"/>
    </xf>
    <xf numFmtId="0" fontId="10" fillId="0" borderId="1" xfId="0" applyFont="1" applyBorder="1" applyAlignment="1">
      <alignment horizontal="left" vertical="top"/>
    </xf>
    <xf numFmtId="0" fontId="1" fillId="0" borderId="2" xfId="0" applyFont="1" applyBorder="1" applyAlignment="1">
      <alignment horizontal="left" vertical="center"/>
    </xf>
    <xf numFmtId="0" fontId="1" fillId="0" borderId="45" xfId="0" applyFont="1" applyBorder="1" applyAlignment="1">
      <alignment horizontal="left" vertical="center"/>
    </xf>
    <xf numFmtId="0" fontId="1" fillId="0" borderId="46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47" xfId="0" applyFont="1" applyBorder="1" applyAlignment="1">
      <alignment horizontal="left" vertical="center"/>
    </xf>
    <xf numFmtId="0" fontId="1" fillId="0" borderId="48" xfId="0" applyFont="1" applyBorder="1" applyAlignment="1">
      <alignment horizontal="left" vertical="center"/>
    </xf>
    <xf numFmtId="2" fontId="15" fillId="0" borderId="0" xfId="0" applyNumberFormat="1" applyFont="1" applyAlignment="1">
      <alignment horizontal="right" vertical="center"/>
    </xf>
    <xf numFmtId="0" fontId="1" fillId="0" borderId="5" xfId="0" applyFont="1" applyBorder="1" applyAlignment="1">
      <alignment horizontal="left" vertical="center"/>
    </xf>
    <xf numFmtId="0" fontId="6" fillId="0" borderId="49" xfId="0" applyFont="1" applyBorder="1" applyAlignment="1">
      <alignment horizontal="left"/>
    </xf>
    <xf numFmtId="0" fontId="6" fillId="0" borderId="41" xfId="0" applyFont="1" applyBorder="1" applyAlignment="1">
      <alignment horizontal="left"/>
    </xf>
    <xf numFmtId="2" fontId="15" fillId="0" borderId="26" xfId="0" applyNumberFormat="1" applyFont="1" applyBorder="1" applyAlignment="1">
      <alignment horizontal="right" vertical="center"/>
    </xf>
    <xf numFmtId="0" fontId="1" fillId="0" borderId="50" xfId="0" applyFont="1" applyBorder="1" applyAlignment="1">
      <alignment horizontal="left" vertical="center"/>
    </xf>
    <xf numFmtId="0" fontId="9" fillId="0" borderId="37" xfId="0" applyFont="1" applyBorder="1" applyAlignment="1">
      <alignment horizontal="left" vertical="center" wrapText="1"/>
    </xf>
    <xf numFmtId="2" fontId="9" fillId="0" borderId="40" xfId="0" applyNumberFormat="1" applyFont="1" applyBorder="1" applyAlignment="1">
      <alignment horizontal="right" vertical="center"/>
    </xf>
    <xf numFmtId="0" fontId="6" fillId="0" borderId="26" xfId="0" applyFont="1" applyBorder="1" applyAlignment="1">
      <alignment horizontal="center" vertical="center"/>
    </xf>
    <xf numFmtId="39" fontId="9" fillId="0" borderId="40" xfId="0" applyNumberFormat="1" applyFont="1" applyBorder="1" applyAlignment="1">
      <alignment horizontal="left" vertical="center"/>
    </xf>
    <xf numFmtId="0" fontId="6" fillId="0" borderId="39" xfId="0" applyFont="1" applyBorder="1" applyAlignment="1">
      <alignment horizontal="left" vertical="center"/>
    </xf>
    <xf numFmtId="39" fontId="11" fillId="0" borderId="41" xfId="0" applyNumberFormat="1" applyFont="1" applyBorder="1" applyAlignment="1">
      <alignment horizontal="right" vertical="center"/>
    </xf>
    <xf numFmtId="0" fontId="14" fillId="0" borderId="51" xfId="0" applyFont="1" applyBorder="1" applyAlignment="1">
      <alignment horizontal="left" vertical="top"/>
    </xf>
    <xf numFmtId="0" fontId="1" fillId="0" borderId="52" xfId="0" applyFont="1" applyBorder="1" applyAlignment="1">
      <alignment horizontal="left" vertical="center"/>
    </xf>
    <xf numFmtId="0" fontId="1" fillId="0" borderId="34" xfId="0" applyFont="1" applyBorder="1" applyAlignment="1">
      <alignment horizontal="left" vertical="center"/>
    </xf>
    <xf numFmtId="0" fontId="1" fillId="0" borderId="53" xfId="0" applyFont="1" applyBorder="1" applyAlignment="1">
      <alignment horizontal="left" vertical="center"/>
    </xf>
    <xf numFmtId="0" fontId="16" fillId="0" borderId="0" xfId="0" applyFont="1" applyAlignment="1">
      <alignment horizontal="left"/>
    </xf>
    <xf numFmtId="39" fontId="16" fillId="0" borderId="0" xfId="0" applyNumberFormat="1" applyFont="1" applyAlignment="1">
      <alignment horizontal="left"/>
    </xf>
    <xf numFmtId="0" fontId="10" fillId="0" borderId="4" xfId="0" applyFont="1" applyBorder="1" applyAlignment="1">
      <alignment horizontal="left" vertical="top"/>
    </xf>
    <xf numFmtId="0" fontId="10" fillId="0" borderId="0" xfId="0" applyFont="1" applyAlignment="1">
      <alignment horizontal="left" vertical="center"/>
    </xf>
    <xf numFmtId="39" fontId="12" fillId="0" borderId="31" xfId="0" applyNumberFormat="1" applyFont="1" applyBorder="1" applyAlignment="1">
      <alignment horizontal="right" vertical="center"/>
    </xf>
    <xf numFmtId="0" fontId="10" fillId="0" borderId="51" xfId="0" applyFont="1" applyBorder="1" applyAlignment="1">
      <alignment horizontal="left" vertical="top"/>
    </xf>
    <xf numFmtId="0" fontId="6" fillId="0" borderId="6" xfId="0" applyFont="1" applyBorder="1" applyAlignment="1">
      <alignment horizontal="left"/>
    </xf>
    <xf numFmtId="0" fontId="1" fillId="0" borderId="54" xfId="0" applyFont="1" applyBorder="1" applyAlignment="1">
      <alignment horizontal="left" vertical="center"/>
    </xf>
    <xf numFmtId="0" fontId="6" fillId="0" borderId="55" xfId="0" applyFont="1" applyBorder="1" applyAlignment="1">
      <alignment horizontal="left"/>
    </xf>
    <xf numFmtId="0" fontId="1" fillId="0" borderId="8" xfId="0" applyFont="1" applyBorder="1" applyAlignment="1">
      <alignment horizontal="left" vertical="center"/>
    </xf>
    <xf numFmtId="165" fontId="0" fillId="0" borderId="0" xfId="0" applyNumberFormat="1"/>
    <xf numFmtId="0" fontId="0" fillId="0" borderId="0" xfId="0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165" fontId="0" fillId="0" borderId="2" xfId="0" applyNumberFormat="1" applyBorder="1" applyAlignment="1">
      <alignment vertical="center"/>
    </xf>
    <xf numFmtId="0" fontId="0" fillId="0" borderId="4" xfId="0" applyBorder="1" applyAlignment="1">
      <alignment vertical="center"/>
    </xf>
    <xf numFmtId="0" fontId="17" fillId="0" borderId="0" xfId="0" applyFont="1" applyAlignment="1">
      <alignment horizontal="left" vertical="center"/>
    </xf>
    <xf numFmtId="165" fontId="0" fillId="0" borderId="0" xfId="0" applyNumberFormat="1" applyAlignment="1">
      <alignment vertical="center"/>
    </xf>
    <xf numFmtId="0" fontId="18" fillId="0" borderId="0" xfId="0" applyFont="1" applyAlignment="1">
      <alignment horizontal="left" vertical="center"/>
    </xf>
    <xf numFmtId="0" fontId="19" fillId="0" borderId="0" xfId="0" applyFont="1"/>
    <xf numFmtId="0" fontId="21" fillId="0" borderId="0" xfId="0" applyFont="1" applyAlignment="1">
      <alignment vertical="center"/>
    </xf>
    <xf numFmtId="165" fontId="18" fillId="0" borderId="0" xfId="0" applyNumberFormat="1" applyFont="1" applyAlignment="1">
      <alignment horizontal="left" vertical="center"/>
    </xf>
    <xf numFmtId="165" fontId="22" fillId="0" borderId="0" xfId="0" applyNumberFormat="1" applyFont="1" applyAlignment="1">
      <alignment horizontal="left" vertical="center"/>
    </xf>
    <xf numFmtId="165" fontId="22" fillId="0" borderId="0" xfId="0" applyNumberFormat="1" applyFon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23" fillId="2" borderId="56" xfId="0" applyFont="1" applyFill="1" applyBorder="1" applyAlignment="1">
      <alignment horizontal="center" vertical="center" wrapText="1"/>
    </xf>
    <xf numFmtId="0" fontId="23" fillId="2" borderId="57" xfId="0" applyFont="1" applyFill="1" applyBorder="1" applyAlignment="1">
      <alignment horizontal="center" vertical="center" wrapText="1"/>
    </xf>
    <xf numFmtId="165" fontId="23" fillId="2" borderId="57" xfId="0" applyNumberFormat="1" applyFont="1" applyFill="1" applyBorder="1" applyAlignment="1">
      <alignment horizontal="center" vertical="center" wrapText="1"/>
    </xf>
    <xf numFmtId="165" fontId="23" fillId="2" borderId="58" xfId="0" applyNumberFormat="1" applyFont="1" applyFill="1" applyBorder="1" applyAlignment="1">
      <alignment horizontal="center" vertical="center" wrapText="1"/>
    </xf>
    <xf numFmtId="0" fontId="23" fillId="2" borderId="0" xfId="0" applyFont="1" applyFill="1" applyAlignment="1">
      <alignment horizontal="center" vertical="center" wrapText="1"/>
    </xf>
    <xf numFmtId="0" fontId="24" fillId="0" borderId="56" xfId="0" applyFont="1" applyBorder="1" applyAlignment="1">
      <alignment horizontal="center" vertical="center" wrapText="1"/>
    </xf>
    <xf numFmtId="0" fontId="24" fillId="0" borderId="57" xfId="0" applyFont="1" applyBorder="1" applyAlignment="1">
      <alignment horizontal="center" vertical="center" wrapText="1"/>
    </xf>
    <xf numFmtId="0" fontId="24" fillId="0" borderId="58" xfId="0" applyFont="1" applyBorder="1" applyAlignment="1">
      <alignment horizontal="center" vertical="center" wrapText="1"/>
    </xf>
    <xf numFmtId="0" fontId="25" fillId="0" borderId="0" xfId="0" applyFont="1" applyAlignment="1">
      <alignment horizontal="left" vertical="center"/>
    </xf>
    <xf numFmtId="165" fontId="25" fillId="0" borderId="0" xfId="0" applyNumberFormat="1" applyFont="1"/>
    <xf numFmtId="0" fontId="0" fillId="0" borderId="59" xfId="0" applyBorder="1" applyAlignment="1">
      <alignment vertical="center"/>
    </xf>
    <xf numFmtId="0" fontId="0" fillId="0" borderId="60" xfId="0" applyBorder="1" applyAlignment="1">
      <alignment vertical="center"/>
    </xf>
    <xf numFmtId="166" fontId="26" fillId="0" borderId="60" xfId="0" applyNumberFormat="1" applyFont="1" applyBorder="1"/>
    <xf numFmtId="166" fontId="26" fillId="0" borderId="61" xfId="0" applyNumberFormat="1" applyFont="1" applyBorder="1"/>
    <xf numFmtId="0" fontId="0" fillId="0" borderId="0" xfId="0" applyAlignment="1">
      <alignment horizontal="left" vertical="center"/>
    </xf>
    <xf numFmtId="4" fontId="27" fillId="0" borderId="0" xfId="0" applyNumberFormat="1" applyFont="1" applyAlignment="1">
      <alignment vertical="center"/>
    </xf>
    <xf numFmtId="0" fontId="28" fillId="0" borderId="0" xfId="0" applyFont="1"/>
    <xf numFmtId="0" fontId="28" fillId="0" borderId="4" xfId="0" applyFont="1" applyBorder="1"/>
    <xf numFmtId="0" fontId="28" fillId="0" borderId="0" xfId="0" applyFont="1" applyAlignment="1">
      <alignment horizontal="left"/>
    </xf>
    <xf numFmtId="0" fontId="29" fillId="0" borderId="0" xfId="0" applyFont="1" applyAlignment="1">
      <alignment horizontal="left"/>
    </xf>
    <xf numFmtId="165" fontId="28" fillId="0" borderId="0" xfId="0" applyNumberFormat="1" applyFont="1"/>
    <xf numFmtId="165" fontId="29" fillId="0" borderId="0" xfId="0" applyNumberFormat="1" applyFont="1"/>
    <xf numFmtId="0" fontId="28" fillId="0" borderId="62" xfId="0" applyFont="1" applyBorder="1"/>
    <xf numFmtId="166" fontId="28" fillId="0" borderId="0" xfId="0" applyNumberFormat="1" applyFont="1"/>
    <xf numFmtId="166" fontId="28" fillId="0" borderId="63" xfId="0" applyNumberFormat="1" applyFont="1" applyBorder="1"/>
    <xf numFmtId="0" fontId="28" fillId="0" borderId="0" xfId="0" applyFont="1" applyAlignment="1">
      <alignment horizontal="center"/>
    </xf>
    <xf numFmtId="4" fontId="28" fillId="0" borderId="0" xfId="0" applyNumberFormat="1" applyFont="1" applyAlignment="1">
      <alignment vertical="center"/>
    </xf>
    <xf numFmtId="0" fontId="30" fillId="0" borderId="0" xfId="0" applyFont="1"/>
    <xf numFmtId="0" fontId="30" fillId="0" borderId="4" xfId="0" applyFont="1" applyBorder="1"/>
    <xf numFmtId="0" fontId="30" fillId="0" borderId="0" xfId="0" applyFont="1" applyAlignment="1">
      <alignment horizontal="left"/>
    </xf>
    <xf numFmtId="0" fontId="31" fillId="0" borderId="0" xfId="0" applyFont="1" applyAlignment="1">
      <alignment horizontal="left"/>
    </xf>
    <xf numFmtId="165" fontId="30" fillId="0" borderId="0" xfId="0" applyNumberFormat="1" applyFont="1"/>
    <xf numFmtId="165" fontId="31" fillId="0" borderId="0" xfId="0" applyNumberFormat="1" applyFont="1"/>
    <xf numFmtId="0" fontId="30" fillId="0" borderId="62" xfId="0" applyFont="1" applyBorder="1"/>
    <xf numFmtId="166" fontId="30" fillId="0" borderId="0" xfId="0" applyNumberFormat="1" applyFont="1"/>
    <xf numFmtId="166" fontId="30" fillId="0" borderId="63" xfId="0" applyNumberFormat="1" applyFont="1" applyBorder="1"/>
    <xf numFmtId="0" fontId="30" fillId="0" borderId="0" xfId="0" applyFont="1" applyAlignment="1">
      <alignment horizontal="center"/>
    </xf>
    <xf numFmtId="4" fontId="30" fillId="0" borderId="0" xfId="0" applyNumberFormat="1" applyFont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23" fillId="0" borderId="64" xfId="0" applyFont="1" applyBorder="1" applyAlignment="1" applyProtection="1">
      <alignment horizontal="center" vertical="center"/>
      <protection locked="0"/>
    </xf>
    <xf numFmtId="49" fontId="23" fillId="0" borderId="64" xfId="0" applyNumberFormat="1" applyFont="1" applyBorder="1" applyAlignment="1" applyProtection="1">
      <alignment horizontal="left" vertical="center" wrapText="1"/>
      <protection locked="0"/>
    </xf>
    <xf numFmtId="0" fontId="23" fillId="0" borderId="64" xfId="0" applyFont="1" applyBorder="1" applyAlignment="1" applyProtection="1">
      <alignment horizontal="left" vertical="center" wrapText="1"/>
      <protection locked="0"/>
    </xf>
    <xf numFmtId="0" fontId="23" fillId="0" borderId="64" xfId="0" applyFont="1" applyBorder="1" applyAlignment="1" applyProtection="1">
      <alignment horizontal="center" vertical="center" wrapText="1"/>
      <protection locked="0"/>
    </xf>
    <xf numFmtId="165" fontId="23" fillId="0" borderId="64" xfId="0" applyNumberFormat="1" applyFont="1" applyBorder="1" applyAlignment="1" applyProtection="1">
      <alignment vertical="center"/>
      <protection locked="0"/>
    </xf>
    <xf numFmtId="0" fontId="0" fillId="0" borderId="64" xfId="0" applyBorder="1" applyAlignment="1" applyProtection="1">
      <alignment vertical="center"/>
      <protection locked="0"/>
    </xf>
    <xf numFmtId="0" fontId="24" fillId="0" borderId="62" xfId="0" applyFont="1" applyBorder="1" applyAlignment="1">
      <alignment horizontal="left" vertical="center"/>
    </xf>
    <xf numFmtId="0" fontId="24" fillId="0" borderId="0" xfId="0" applyFont="1" applyAlignment="1">
      <alignment horizontal="center" vertical="center"/>
    </xf>
    <xf numFmtId="166" fontId="24" fillId="0" borderId="0" xfId="0" applyNumberFormat="1" applyFont="1" applyAlignment="1">
      <alignment vertical="center"/>
    </xf>
    <xf numFmtId="166" fontId="24" fillId="0" borderId="63" xfId="0" applyNumberFormat="1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2" fillId="0" borderId="64" xfId="0" applyFont="1" applyBorder="1" applyAlignment="1" applyProtection="1">
      <alignment horizontal="center" vertical="center"/>
      <protection locked="0"/>
    </xf>
    <xf numFmtId="49" fontId="32" fillId="0" borderId="64" xfId="0" applyNumberFormat="1" applyFont="1" applyBorder="1" applyAlignment="1" applyProtection="1">
      <alignment horizontal="left" vertical="center" wrapText="1"/>
      <protection locked="0"/>
    </xf>
    <xf numFmtId="0" fontId="32" fillId="0" borderId="64" xfId="0" applyFont="1" applyBorder="1" applyAlignment="1" applyProtection="1">
      <alignment horizontal="left" vertical="center" wrapText="1"/>
      <protection locked="0"/>
    </xf>
    <xf numFmtId="0" fontId="32" fillId="0" borderId="64" xfId="0" applyFont="1" applyBorder="1" applyAlignment="1" applyProtection="1">
      <alignment horizontal="center" vertical="center" wrapText="1"/>
      <protection locked="0"/>
    </xf>
    <xf numFmtId="165" fontId="32" fillId="0" borderId="64" xfId="0" applyNumberFormat="1" applyFont="1" applyBorder="1" applyAlignment="1" applyProtection="1">
      <alignment vertical="center"/>
      <protection locked="0"/>
    </xf>
    <xf numFmtId="0" fontId="33" fillId="0" borderId="64" xfId="0" applyFont="1" applyBorder="1" applyAlignment="1" applyProtection="1">
      <alignment vertical="center"/>
      <protection locked="0"/>
    </xf>
    <xf numFmtId="0" fontId="33" fillId="0" borderId="4" xfId="0" applyFont="1" applyBorder="1" applyAlignment="1">
      <alignment vertical="center"/>
    </xf>
    <xf numFmtId="0" fontId="32" fillId="0" borderId="62" xfId="0" applyFont="1" applyBorder="1" applyAlignment="1">
      <alignment horizontal="left" vertical="center"/>
    </xf>
    <xf numFmtId="0" fontId="32" fillId="0" borderId="0" xfId="0" applyFont="1" applyAlignment="1">
      <alignment horizontal="center" vertical="center"/>
    </xf>
    <xf numFmtId="0" fontId="32" fillId="0" borderId="65" xfId="0" applyFont="1" applyBorder="1" applyAlignment="1">
      <alignment horizontal="left" vertical="center"/>
    </xf>
    <xf numFmtId="0" fontId="32" fillId="0" borderId="66" xfId="0" applyFont="1" applyBorder="1" applyAlignment="1">
      <alignment horizontal="center" vertical="center"/>
    </xf>
    <xf numFmtId="166" fontId="24" fillId="0" borderId="66" xfId="0" applyNumberFormat="1" applyFont="1" applyBorder="1" applyAlignment="1">
      <alignment vertical="center"/>
    </xf>
    <xf numFmtId="166" fontId="24" fillId="0" borderId="67" xfId="0" applyNumberFormat="1" applyFont="1" applyBorder="1" applyAlignment="1">
      <alignment vertical="center"/>
    </xf>
    <xf numFmtId="0" fontId="34" fillId="0" borderId="0" xfId="0" applyFont="1" applyAlignment="1">
      <alignment horizontal="left"/>
    </xf>
    <xf numFmtId="0" fontId="35" fillId="0" borderId="0" xfId="0" applyFont="1" applyAlignment="1">
      <alignment horizontal="center"/>
    </xf>
    <xf numFmtId="165" fontId="35" fillId="0" borderId="0" xfId="0" applyNumberFormat="1" applyFont="1"/>
    <xf numFmtId="165" fontId="34" fillId="0" borderId="0" xfId="0" applyNumberFormat="1" applyFont="1"/>
    <xf numFmtId="0" fontId="0" fillId="0" borderId="6" xfId="0" applyBorder="1" applyAlignment="1">
      <alignment vertical="center"/>
    </xf>
    <xf numFmtId="0" fontId="0" fillId="0" borderId="7" xfId="0" applyBorder="1" applyAlignment="1">
      <alignment vertical="center"/>
    </xf>
    <xf numFmtId="165" fontId="0" fillId="0" borderId="7" xfId="0" applyNumberFormat="1" applyBorder="1" applyAlignment="1">
      <alignment vertical="center"/>
    </xf>
    <xf numFmtId="165" fontId="36" fillId="0" borderId="0" xfId="0" applyNumberFormat="1" applyFont="1"/>
    <xf numFmtId="0" fontId="8" fillId="0" borderId="0" xfId="0" applyFont="1" applyAlignment="1">
      <alignment horizontal="left" vertical="center"/>
    </xf>
    <xf numFmtId="0" fontId="10" fillId="0" borderId="7" xfId="0" applyFont="1" applyBorder="1" applyAlignment="1">
      <alignment horizontal="left" vertical="center"/>
    </xf>
    <xf numFmtId="0" fontId="9" fillId="0" borderId="12" xfId="0" applyFont="1" applyBorder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9" fillId="0" borderId="15" xfId="0" applyFont="1" applyBorder="1" applyAlignment="1">
      <alignment horizontal="left" vertical="center" wrapText="1"/>
    </xf>
    <xf numFmtId="0" fontId="9" fillId="0" borderId="18" xfId="0" applyFont="1" applyBorder="1" applyAlignment="1">
      <alignment horizontal="left" vertical="center"/>
    </xf>
    <xf numFmtId="0" fontId="6" fillId="0" borderId="18" xfId="0" applyFont="1" applyBorder="1" applyAlignment="1">
      <alignment horizontal="left" vertical="center"/>
    </xf>
    <xf numFmtId="0" fontId="7" fillId="0" borderId="9" xfId="0" applyFont="1" applyBorder="1" applyAlignment="1">
      <alignment horizontal="left" vertical="center" wrapText="1"/>
    </xf>
    <xf numFmtId="0" fontId="8" fillId="0" borderId="12" xfId="0" applyFont="1" applyBorder="1" applyAlignment="1">
      <alignment horizontal="left" vertical="center" wrapText="1"/>
    </xf>
    <xf numFmtId="0" fontId="8" fillId="0" borderId="15" xfId="0" applyFont="1" applyBorder="1" applyAlignment="1">
      <alignment horizontal="left" vertical="center" wrapText="1"/>
    </xf>
    <xf numFmtId="0" fontId="9" fillId="0" borderId="9" xfId="0" applyFont="1" applyBorder="1" applyAlignment="1">
      <alignment horizontal="left" vertical="center" wrapText="1"/>
    </xf>
    <xf numFmtId="0" fontId="18" fillId="0" borderId="0" xfId="0" applyFont="1" applyAlignment="1">
      <alignment horizontal="left" vertical="center" wrapText="1"/>
    </xf>
    <xf numFmtId="0" fontId="20" fillId="0" borderId="0" xfId="0" applyFont="1" applyAlignment="1">
      <alignment horizontal="left" vertical="center" wrapText="1"/>
    </xf>
    <xf numFmtId="0" fontId="23" fillId="0" borderId="0" xfId="0" applyFont="1" applyAlignment="1">
      <alignment horizontal="left" vertical="center" wrapText="1"/>
    </xf>
  </cellXfs>
  <cellStyles count="1">
    <cellStyle name="Normálna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6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2D2D2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W39"/>
  <sheetViews>
    <sheetView tabSelected="1" topLeftCell="A16" zoomScale="110" zoomScaleNormal="110" workbookViewId="0">
      <selection activeCell="E10" sqref="E10:M10"/>
    </sheetView>
  </sheetViews>
  <sheetFormatPr defaultRowHeight="11.25"/>
  <cols>
    <col min="1" max="1" width="3" style="5" customWidth="1"/>
    <col min="2" max="2" width="2" style="5" customWidth="1"/>
    <col min="3" max="3" width="3.5" style="5" customWidth="1"/>
    <col min="4" max="4" width="8" style="5" customWidth="1"/>
    <col min="5" max="5" width="15.5" style="5" customWidth="1"/>
    <col min="6" max="6" width="0.83203125" style="5" customWidth="1"/>
    <col min="7" max="7" width="3" style="5" customWidth="1"/>
    <col min="8" max="8" width="3.83203125" style="5" customWidth="1"/>
    <col min="9" max="9" width="10" style="5" customWidth="1"/>
    <col min="10" max="10" width="15.5" style="5" customWidth="1"/>
    <col min="11" max="11" width="0.6640625" style="5" customWidth="1"/>
    <col min="12" max="12" width="3" style="5" customWidth="1"/>
    <col min="13" max="13" width="4.1640625" style="5" customWidth="1"/>
    <col min="14" max="14" width="5.5" style="5" customWidth="1"/>
    <col min="15" max="15" width="3.5" style="5" customWidth="1"/>
    <col min="16" max="16" width="13.5" style="5" customWidth="1"/>
    <col min="17" max="17" width="4.6640625" style="5" customWidth="1"/>
    <col min="18" max="18" width="15.5" style="5" customWidth="1"/>
    <col min="19" max="19" width="0.5" style="5" customWidth="1"/>
    <col min="20" max="257" width="10.1640625" style="6" customWidth="1"/>
    <col min="258" max="1025" width="10.1640625" customWidth="1"/>
  </cols>
  <sheetData>
    <row r="1" spans="1:19" s="5" customFormat="1" ht="3.75" customHeight="1">
      <c r="A1" s="7"/>
      <c r="B1" s="8"/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9"/>
    </row>
    <row r="2" spans="1:19" s="5" customFormat="1" ht="19.5" customHeight="1">
      <c r="A2" s="10"/>
      <c r="B2" s="11"/>
      <c r="C2" s="11"/>
      <c r="D2" s="11"/>
      <c r="E2" s="11"/>
      <c r="F2" s="11"/>
      <c r="G2" s="12" t="s">
        <v>0</v>
      </c>
      <c r="H2" s="13"/>
      <c r="I2" s="11"/>
      <c r="J2" s="11"/>
      <c r="K2" s="11"/>
      <c r="L2" s="11"/>
      <c r="M2" s="11"/>
      <c r="N2" s="11"/>
      <c r="O2" s="11"/>
      <c r="P2" s="11"/>
      <c r="Q2" s="11"/>
      <c r="R2" s="11"/>
      <c r="S2" s="14"/>
    </row>
    <row r="3" spans="1:19" s="5" customFormat="1" ht="9" customHeight="1">
      <c r="A3" s="15"/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7"/>
    </row>
    <row r="4" spans="1:19" s="5" customFormat="1" ht="7.5" customHeight="1">
      <c r="A4" s="18"/>
      <c r="B4" s="19"/>
      <c r="C4" s="19"/>
      <c r="D4" s="19"/>
      <c r="E4" s="19"/>
      <c r="F4" s="19"/>
      <c r="G4" s="19"/>
      <c r="H4" s="19"/>
      <c r="I4" s="19"/>
      <c r="J4" s="19"/>
      <c r="K4" s="19"/>
      <c r="L4" s="19"/>
      <c r="M4" s="19"/>
      <c r="N4" s="19"/>
      <c r="O4" s="4"/>
      <c r="P4" s="19"/>
      <c r="Q4" s="19"/>
      <c r="R4" s="19"/>
      <c r="S4" s="20"/>
    </row>
    <row r="5" spans="1:19" s="5" customFormat="1" ht="24.75" customHeight="1">
      <c r="A5" s="21"/>
      <c r="B5" s="4" t="s">
        <v>1</v>
      </c>
      <c r="C5" s="4"/>
      <c r="D5" s="4"/>
      <c r="E5" s="223" t="str">
        <f>'SO 101 - Rozpočet'!F4</f>
        <v>Rekonštrukcia lesnej cesty, Poruba pod Vihorlatom</v>
      </c>
      <c r="F5" s="223"/>
      <c r="G5" s="223"/>
      <c r="H5" s="223"/>
      <c r="I5" s="223"/>
      <c r="J5" s="223"/>
      <c r="K5" s="223"/>
      <c r="L5" s="223"/>
      <c r="M5" s="223"/>
      <c r="N5" s="4"/>
      <c r="O5" s="4"/>
      <c r="P5" s="4" t="s">
        <v>2</v>
      </c>
      <c r="Q5" s="22"/>
      <c r="R5" s="23"/>
      <c r="S5" s="24"/>
    </row>
    <row r="6" spans="1:19" s="5" customFormat="1" ht="24.75" customHeight="1">
      <c r="A6" s="21"/>
      <c r="B6" s="4"/>
      <c r="C6" s="4"/>
      <c r="D6" s="4"/>
      <c r="E6" s="224"/>
      <c r="F6" s="224"/>
      <c r="G6" s="224"/>
      <c r="H6" s="224"/>
      <c r="I6" s="224"/>
      <c r="J6" s="224"/>
      <c r="K6" s="224"/>
      <c r="L6" s="224"/>
      <c r="M6" s="224"/>
      <c r="N6" s="4"/>
      <c r="O6" s="4"/>
      <c r="P6" s="4" t="s">
        <v>3</v>
      </c>
      <c r="Q6" s="25"/>
      <c r="R6" s="26"/>
      <c r="S6" s="24"/>
    </row>
    <row r="7" spans="1:19" s="5" customFormat="1" ht="24.75" customHeight="1">
      <c r="A7" s="21"/>
      <c r="B7" s="4"/>
      <c r="C7" s="4"/>
      <c r="D7" s="4"/>
      <c r="E7" s="225"/>
      <c r="F7" s="225"/>
      <c r="G7" s="225"/>
      <c r="H7" s="225"/>
      <c r="I7" s="225"/>
      <c r="J7" s="225"/>
      <c r="K7" s="225"/>
      <c r="L7" s="225"/>
      <c r="M7" s="225"/>
      <c r="N7" s="4"/>
      <c r="O7" s="4"/>
      <c r="P7" s="4" t="s">
        <v>4</v>
      </c>
      <c r="Q7" s="27"/>
      <c r="R7" s="28"/>
      <c r="S7" s="24"/>
    </row>
    <row r="8" spans="1:19" s="5" customFormat="1" ht="24.75" customHeight="1">
      <c r="A8" s="21"/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 t="s">
        <v>5</v>
      </c>
      <c r="Q8" s="4"/>
      <c r="R8" s="4" t="s">
        <v>6</v>
      </c>
      <c r="S8" s="24"/>
    </row>
    <row r="9" spans="1:19" s="5" customFormat="1" ht="24.75" customHeight="1">
      <c r="A9" s="21"/>
      <c r="B9" s="4" t="s">
        <v>7</v>
      </c>
      <c r="C9" s="4"/>
      <c r="D9" s="4"/>
      <c r="E9" s="226" t="str">
        <f>'SO 101 - Rozpočet'!F11</f>
        <v>Urbarska spoločnosť obce Poruba pod Vihorlatom, pozemkové spoločenstvo</v>
      </c>
      <c r="F9" s="226"/>
      <c r="G9" s="226"/>
      <c r="H9" s="226"/>
      <c r="I9" s="226"/>
      <c r="J9" s="226"/>
      <c r="K9" s="226"/>
      <c r="L9" s="226"/>
      <c r="M9" s="226"/>
      <c r="N9" s="4"/>
      <c r="O9" s="4"/>
      <c r="P9" s="3"/>
      <c r="Q9" s="4"/>
      <c r="R9" s="3"/>
      <c r="S9" s="24"/>
    </row>
    <row r="10" spans="1:19" s="5" customFormat="1" ht="24.75" customHeight="1">
      <c r="A10" s="29"/>
      <c r="B10" s="4" t="s">
        <v>8</v>
      </c>
      <c r="C10" s="4"/>
      <c r="D10" s="4"/>
      <c r="E10" s="218" t="s">
        <v>9</v>
      </c>
      <c r="F10" s="218"/>
      <c r="G10" s="218"/>
      <c r="H10" s="218"/>
      <c r="I10" s="218"/>
      <c r="J10" s="218"/>
      <c r="K10" s="218"/>
      <c r="L10" s="218"/>
      <c r="M10" s="218"/>
      <c r="N10" s="4"/>
      <c r="O10" s="4"/>
      <c r="P10" s="3"/>
      <c r="Q10" s="4"/>
      <c r="R10" s="3"/>
      <c r="S10" s="24"/>
    </row>
    <row r="11" spans="1:19" s="5" customFormat="1" ht="24.75" customHeight="1">
      <c r="A11" s="21"/>
      <c r="B11" s="4" t="s">
        <v>10</v>
      </c>
      <c r="C11" s="4"/>
      <c r="D11" s="4"/>
      <c r="E11" s="218" t="s">
        <v>9</v>
      </c>
      <c r="F11" s="218"/>
      <c r="G11" s="218"/>
      <c r="H11" s="218"/>
      <c r="I11" s="218"/>
      <c r="J11" s="218"/>
      <c r="K11" s="218"/>
      <c r="L11" s="218"/>
      <c r="M11" s="218"/>
      <c r="N11" s="4"/>
      <c r="O11" s="4"/>
      <c r="P11" s="3"/>
      <c r="Q11" s="4"/>
      <c r="R11" s="3"/>
      <c r="S11" s="24"/>
    </row>
    <row r="12" spans="1:19" s="5" customFormat="1" ht="12.75" customHeight="1">
      <c r="A12" s="30"/>
      <c r="B12" s="30"/>
      <c r="C12" s="30"/>
      <c r="D12" s="30"/>
      <c r="E12" s="30"/>
      <c r="F12" s="30"/>
      <c r="G12" s="30"/>
      <c r="H12" s="30"/>
      <c r="I12" s="30"/>
      <c r="J12" s="30"/>
      <c r="K12" s="30"/>
      <c r="L12" s="30"/>
      <c r="M12" s="30"/>
      <c r="N12" s="30"/>
      <c r="O12" s="30"/>
      <c r="P12" s="30"/>
      <c r="Q12" s="30"/>
      <c r="R12" s="30"/>
      <c r="S12" s="30"/>
    </row>
    <row r="13" spans="1:19" s="5" customFormat="1" ht="24" customHeight="1">
      <c r="A13" s="31"/>
      <c r="B13" s="219" t="s">
        <v>11</v>
      </c>
      <c r="C13" s="219"/>
      <c r="D13" s="219"/>
      <c r="E13" s="220" t="s">
        <v>9</v>
      </c>
      <c r="F13" s="220"/>
      <c r="G13" s="220"/>
      <c r="H13" s="220"/>
      <c r="I13" s="220"/>
      <c r="J13" s="220"/>
      <c r="K13" s="220"/>
      <c r="L13" s="220"/>
      <c r="M13" s="220"/>
      <c r="N13" s="30"/>
      <c r="O13" s="30"/>
      <c r="P13" s="32"/>
      <c r="Q13" s="30"/>
      <c r="R13" s="32"/>
      <c r="S13" s="33"/>
    </row>
    <row r="14" spans="1:19" s="5" customFormat="1" ht="12" customHeight="1">
      <c r="A14" s="31"/>
      <c r="B14" s="30"/>
      <c r="C14" s="30"/>
      <c r="D14" s="30"/>
      <c r="E14" s="30"/>
      <c r="F14" s="30"/>
      <c r="G14" s="30"/>
      <c r="H14" s="30"/>
      <c r="I14" s="30"/>
      <c r="J14" s="30"/>
      <c r="K14" s="30"/>
      <c r="L14" s="30"/>
      <c r="M14" s="30"/>
      <c r="N14" s="30"/>
      <c r="O14" s="30"/>
      <c r="P14" s="30"/>
      <c r="Q14" s="30"/>
      <c r="R14" s="30"/>
      <c r="S14" s="33"/>
    </row>
    <row r="15" spans="1:19" s="5" customFormat="1" ht="17.25" customHeight="1">
      <c r="A15" s="21"/>
      <c r="B15" s="4"/>
      <c r="C15" s="4"/>
      <c r="D15" s="4"/>
      <c r="E15" s="4" t="s">
        <v>12</v>
      </c>
      <c r="F15" s="4"/>
      <c r="G15" s="30"/>
      <c r="H15" s="4" t="s">
        <v>13</v>
      </c>
      <c r="I15" s="4"/>
      <c r="J15" s="4"/>
      <c r="K15" s="4" t="s">
        <v>14</v>
      </c>
      <c r="L15" s="4"/>
      <c r="M15" s="4"/>
      <c r="N15" s="4"/>
      <c r="O15" s="4"/>
      <c r="P15" s="4" t="s">
        <v>15</v>
      </c>
      <c r="Q15" s="4"/>
      <c r="R15" s="34"/>
      <c r="S15" s="24"/>
    </row>
    <row r="16" spans="1:19" s="5" customFormat="1" ht="17.25" customHeight="1">
      <c r="A16" s="21"/>
      <c r="B16" s="4"/>
      <c r="C16" s="4"/>
      <c r="D16" s="4"/>
      <c r="E16" s="2"/>
      <c r="F16" s="4"/>
      <c r="G16" s="30"/>
      <c r="H16" s="221"/>
      <c r="I16" s="221"/>
      <c r="J16" s="4"/>
      <c r="K16" s="222"/>
      <c r="L16" s="222"/>
      <c r="M16" s="222"/>
      <c r="N16" s="4"/>
      <c r="O16" s="4"/>
      <c r="P16" s="4" t="s">
        <v>16</v>
      </c>
      <c r="Q16" s="4"/>
      <c r="R16" s="35"/>
      <c r="S16" s="24"/>
    </row>
    <row r="17" spans="1:19" s="5" customFormat="1" ht="6.75" customHeight="1">
      <c r="A17" s="36"/>
      <c r="B17" s="37"/>
      <c r="C17" s="37"/>
      <c r="D17" s="37"/>
      <c r="E17" s="37"/>
      <c r="F17" s="37"/>
      <c r="G17" s="37"/>
      <c r="H17" s="37"/>
      <c r="I17" s="37"/>
      <c r="J17" s="37"/>
      <c r="K17" s="37"/>
      <c r="L17" s="37"/>
      <c r="M17" s="37"/>
      <c r="N17" s="37"/>
      <c r="O17" s="37"/>
      <c r="P17" s="37"/>
      <c r="Q17" s="37"/>
      <c r="R17" s="37"/>
      <c r="S17" s="38"/>
    </row>
    <row r="18" spans="1:19" s="5" customFormat="1" ht="23.25" customHeight="1">
      <c r="A18" s="39"/>
      <c r="B18" s="40"/>
      <c r="C18" s="40"/>
      <c r="D18" s="40"/>
      <c r="E18" s="41" t="s">
        <v>17</v>
      </c>
      <c r="F18" s="40"/>
      <c r="G18" s="40"/>
      <c r="H18" s="40"/>
      <c r="I18" s="40"/>
      <c r="J18" s="40"/>
      <c r="K18" s="40"/>
      <c r="L18" s="40"/>
      <c r="M18" s="40"/>
      <c r="N18" s="40"/>
      <c r="O18" s="42"/>
      <c r="P18" s="40"/>
      <c r="Q18" s="40"/>
      <c r="R18" s="40"/>
      <c r="S18" s="43"/>
    </row>
    <row r="19" spans="1:19" s="5" customFormat="1" ht="21.75" customHeight="1">
      <c r="A19" s="44" t="s">
        <v>18</v>
      </c>
      <c r="B19" s="45"/>
      <c r="C19" s="45"/>
      <c r="D19" s="46"/>
      <c r="E19" s="47" t="s">
        <v>19</v>
      </c>
      <c r="F19" s="46"/>
      <c r="G19" s="47" t="s">
        <v>20</v>
      </c>
      <c r="H19" s="45"/>
      <c r="I19" s="48"/>
      <c r="J19" s="49" t="s">
        <v>19</v>
      </c>
      <c r="K19" s="46"/>
      <c r="L19" s="47" t="s">
        <v>21</v>
      </c>
      <c r="M19" s="45"/>
      <c r="N19" s="45"/>
      <c r="O19" s="50"/>
      <c r="P19" s="46"/>
      <c r="Q19" s="47" t="s">
        <v>22</v>
      </c>
      <c r="R19" s="45"/>
      <c r="S19" s="51"/>
    </row>
    <row r="20" spans="1:19" s="5" customFormat="1" ht="23.25" customHeight="1">
      <c r="A20" s="52"/>
      <c r="B20" s="53"/>
      <c r="C20" s="53"/>
      <c r="D20" s="54"/>
      <c r="E20" s="55"/>
      <c r="F20" s="56"/>
      <c r="G20" s="57"/>
      <c r="H20" s="53"/>
      <c r="I20" s="54"/>
      <c r="J20" s="58"/>
      <c r="K20" s="56"/>
      <c r="L20" s="57"/>
      <c r="M20" s="53"/>
      <c r="N20" s="53"/>
      <c r="O20" s="42"/>
      <c r="P20" s="54"/>
      <c r="Q20" s="57"/>
      <c r="R20" s="59"/>
      <c r="S20" s="60"/>
    </row>
    <row r="21" spans="1:19" s="5" customFormat="1" ht="23.25" customHeight="1">
      <c r="A21" s="61"/>
      <c r="B21" s="41"/>
      <c r="C21" s="41"/>
      <c r="D21" s="41"/>
      <c r="E21" s="41" t="s">
        <v>23</v>
      </c>
      <c r="F21" s="41"/>
      <c r="G21" s="41"/>
      <c r="H21" s="41"/>
      <c r="I21" s="62" t="s">
        <v>24</v>
      </c>
      <c r="J21" s="41"/>
      <c r="K21" s="41"/>
      <c r="L21" s="41"/>
      <c r="M21" s="41"/>
      <c r="N21" s="41"/>
      <c r="O21" s="1"/>
      <c r="P21" s="41"/>
      <c r="Q21" s="41"/>
      <c r="R21" s="41"/>
      <c r="S21" s="63"/>
    </row>
    <row r="22" spans="1:19" s="5" customFormat="1" ht="21.75" customHeight="1">
      <c r="A22" s="64" t="s">
        <v>25</v>
      </c>
      <c r="B22" s="65"/>
      <c r="C22" s="66" t="s">
        <v>26</v>
      </c>
      <c r="D22" s="67"/>
      <c r="E22" s="67"/>
      <c r="F22" s="68"/>
      <c r="G22" s="64" t="s">
        <v>27</v>
      </c>
      <c r="H22" s="65"/>
      <c r="I22" s="66" t="s">
        <v>28</v>
      </c>
      <c r="J22" s="67"/>
      <c r="K22" s="69"/>
      <c r="L22" s="64" t="s">
        <v>29</v>
      </c>
      <c r="M22" s="65"/>
      <c r="N22" s="66" t="s">
        <v>30</v>
      </c>
      <c r="O22" s="70"/>
      <c r="P22" s="67"/>
      <c r="Q22" s="67"/>
      <c r="R22" s="67"/>
      <c r="S22" s="69"/>
    </row>
    <row r="23" spans="1:19" s="5" customFormat="1" ht="27" customHeight="1">
      <c r="A23" s="71" t="s">
        <v>31</v>
      </c>
      <c r="B23" s="72" t="s">
        <v>32</v>
      </c>
      <c r="C23" s="73"/>
      <c r="D23" s="74" t="s">
        <v>33</v>
      </c>
      <c r="E23" s="75"/>
      <c r="F23" s="76"/>
      <c r="G23" s="71" t="s">
        <v>34</v>
      </c>
      <c r="H23" s="77" t="s">
        <v>35</v>
      </c>
      <c r="I23" s="78"/>
      <c r="J23" s="79"/>
      <c r="K23" s="76"/>
      <c r="L23" s="71" t="s">
        <v>36</v>
      </c>
      <c r="M23" s="80" t="s">
        <v>37</v>
      </c>
      <c r="N23" s="81"/>
      <c r="O23" s="50"/>
      <c r="P23" s="82"/>
      <c r="Q23" s="78"/>
      <c r="R23" s="75">
        <v>0</v>
      </c>
      <c r="S23" s="76"/>
    </row>
    <row r="24" spans="1:19" s="5" customFormat="1" ht="27" customHeight="1">
      <c r="A24" s="71" t="s">
        <v>38</v>
      </c>
      <c r="B24" s="83"/>
      <c r="C24" s="84"/>
      <c r="D24" s="74" t="s">
        <v>39</v>
      </c>
      <c r="E24" s="75"/>
      <c r="F24" s="76"/>
      <c r="G24" s="71" t="s">
        <v>40</v>
      </c>
      <c r="H24" s="77" t="s">
        <v>41</v>
      </c>
      <c r="I24" s="78"/>
      <c r="J24" s="79"/>
      <c r="K24" s="76"/>
      <c r="L24" s="71" t="s">
        <v>42</v>
      </c>
      <c r="M24" s="80" t="s">
        <v>43</v>
      </c>
      <c r="N24" s="81"/>
      <c r="O24" s="50"/>
      <c r="P24" s="81"/>
      <c r="Q24" s="78"/>
      <c r="R24" s="75">
        <v>0</v>
      </c>
      <c r="S24" s="76"/>
    </row>
    <row r="25" spans="1:19" s="5" customFormat="1" ht="27" customHeight="1">
      <c r="A25" s="71" t="s">
        <v>44</v>
      </c>
      <c r="B25" s="72" t="s">
        <v>45</v>
      </c>
      <c r="C25" s="73"/>
      <c r="D25" s="74" t="s">
        <v>33</v>
      </c>
      <c r="E25" s="75">
        <v>0</v>
      </c>
      <c r="F25" s="76"/>
      <c r="G25" s="71" t="s">
        <v>46</v>
      </c>
      <c r="H25" s="77" t="s">
        <v>47</v>
      </c>
      <c r="I25" s="78"/>
      <c r="J25" s="79"/>
      <c r="K25" s="76"/>
      <c r="L25" s="71" t="s">
        <v>48</v>
      </c>
      <c r="M25" s="80" t="s">
        <v>49</v>
      </c>
      <c r="N25" s="81"/>
      <c r="O25" s="50"/>
      <c r="P25" s="81"/>
      <c r="Q25" s="78"/>
      <c r="R25" s="75">
        <v>0</v>
      </c>
      <c r="S25" s="76"/>
    </row>
    <row r="26" spans="1:19" s="5" customFormat="1" ht="27" customHeight="1">
      <c r="A26" s="71" t="s">
        <v>50</v>
      </c>
      <c r="B26" s="83"/>
      <c r="C26" s="84"/>
      <c r="D26" s="74" t="s">
        <v>39</v>
      </c>
      <c r="E26" s="75">
        <v>0</v>
      </c>
      <c r="F26" s="76"/>
      <c r="G26" s="71" t="s">
        <v>51</v>
      </c>
      <c r="H26" s="77"/>
      <c r="I26" s="78"/>
      <c r="J26" s="79"/>
      <c r="K26" s="76"/>
      <c r="L26" s="71" t="s">
        <v>52</v>
      </c>
      <c r="M26" s="85" t="s">
        <v>53</v>
      </c>
      <c r="N26" s="81"/>
      <c r="O26" s="50"/>
      <c r="P26" s="81"/>
      <c r="Q26" s="78"/>
      <c r="R26" s="75">
        <v>0</v>
      </c>
      <c r="S26" s="76"/>
    </row>
    <row r="27" spans="1:19" s="5" customFormat="1" ht="27" customHeight="1">
      <c r="A27" s="71" t="s">
        <v>54</v>
      </c>
      <c r="B27" s="72" t="s">
        <v>55</v>
      </c>
      <c r="C27" s="73"/>
      <c r="D27" s="74" t="s">
        <v>33</v>
      </c>
      <c r="E27" s="75">
        <v>0</v>
      </c>
      <c r="F27" s="76"/>
      <c r="G27" s="86"/>
      <c r="H27" s="87"/>
      <c r="I27" s="78"/>
      <c r="J27" s="79"/>
      <c r="K27" s="76"/>
      <c r="L27" s="71" t="s">
        <v>56</v>
      </c>
      <c r="M27" s="80" t="s">
        <v>57</v>
      </c>
      <c r="N27" s="81"/>
      <c r="O27" s="50"/>
      <c r="P27" s="81"/>
      <c r="Q27" s="88"/>
      <c r="R27" s="75">
        <v>0</v>
      </c>
      <c r="S27" s="76"/>
    </row>
    <row r="28" spans="1:19" s="5" customFormat="1" ht="23.25" customHeight="1">
      <c r="A28" s="71" t="s">
        <v>58</v>
      </c>
      <c r="B28" s="83"/>
      <c r="C28" s="84"/>
      <c r="D28" s="74" t="s">
        <v>39</v>
      </c>
      <c r="E28" s="75">
        <v>0</v>
      </c>
      <c r="F28" s="76"/>
      <c r="G28" s="86"/>
      <c r="H28" s="87"/>
      <c r="I28" s="78"/>
      <c r="J28" s="79"/>
      <c r="K28" s="76"/>
      <c r="L28" s="71" t="s">
        <v>59</v>
      </c>
      <c r="M28" s="80" t="s">
        <v>60</v>
      </c>
      <c r="N28" s="81"/>
      <c r="O28" s="50"/>
      <c r="P28" s="81"/>
      <c r="Q28" s="78"/>
      <c r="R28" s="75">
        <v>0</v>
      </c>
      <c r="S28" s="76"/>
    </row>
    <row r="29" spans="1:19" s="5" customFormat="1" ht="21.75" customHeight="1">
      <c r="A29" s="71" t="s">
        <v>61</v>
      </c>
      <c r="B29" s="216" t="s">
        <v>62</v>
      </c>
      <c r="C29" s="216"/>
      <c r="D29" s="216"/>
      <c r="E29" s="75">
        <f>'SO 101 - Rozpočet'!J15</f>
        <v>1017487.56335</v>
      </c>
      <c r="F29" s="76"/>
      <c r="G29" s="71" t="s">
        <v>63</v>
      </c>
      <c r="H29" s="89" t="s">
        <v>64</v>
      </c>
      <c r="I29" s="78"/>
      <c r="J29" s="79"/>
      <c r="K29" s="76"/>
      <c r="L29" s="71" t="s">
        <v>65</v>
      </c>
      <c r="M29" s="89" t="s">
        <v>66</v>
      </c>
      <c r="N29" s="81"/>
      <c r="O29" s="50"/>
      <c r="P29" s="81"/>
      <c r="Q29" s="78"/>
      <c r="R29" s="75">
        <v>0</v>
      </c>
      <c r="S29" s="76"/>
    </row>
    <row r="30" spans="1:19" s="5" customFormat="1" ht="21.75" customHeight="1">
      <c r="A30" s="90" t="s">
        <v>67</v>
      </c>
      <c r="B30" s="91" t="s">
        <v>68</v>
      </c>
      <c r="C30" s="53"/>
      <c r="D30" s="56"/>
      <c r="E30" s="92">
        <v>0</v>
      </c>
      <c r="F30" s="60"/>
      <c r="G30" s="90" t="s">
        <v>69</v>
      </c>
      <c r="H30" s="91" t="s">
        <v>70</v>
      </c>
      <c r="I30" s="56"/>
      <c r="J30" s="92">
        <v>0</v>
      </c>
      <c r="K30" s="60"/>
      <c r="L30" s="90" t="s">
        <v>71</v>
      </c>
      <c r="M30" s="91" t="s">
        <v>72</v>
      </c>
      <c r="N30" s="53"/>
      <c r="O30" s="42"/>
      <c r="P30" s="53"/>
      <c r="Q30" s="56"/>
      <c r="R30" s="92">
        <v>0</v>
      </c>
      <c r="S30" s="60"/>
    </row>
    <row r="31" spans="1:19" s="5" customFormat="1" ht="21.75" customHeight="1">
      <c r="A31" s="93" t="s">
        <v>8</v>
      </c>
      <c r="B31" s="94"/>
      <c r="C31" s="94"/>
      <c r="D31" s="94"/>
      <c r="E31" s="94"/>
      <c r="F31" s="95"/>
      <c r="G31" s="96"/>
      <c r="H31" s="94"/>
      <c r="I31" s="94"/>
      <c r="J31" s="94"/>
      <c r="K31" s="97"/>
      <c r="L31" s="64" t="s">
        <v>73</v>
      </c>
      <c r="M31" s="46"/>
      <c r="N31" s="66" t="s">
        <v>74</v>
      </c>
      <c r="O31" s="70"/>
      <c r="P31" s="45"/>
      <c r="Q31" s="45"/>
      <c r="R31" s="45"/>
      <c r="S31" s="51"/>
    </row>
    <row r="32" spans="1:19" s="5" customFormat="1" ht="21.75" customHeight="1">
      <c r="A32" s="98"/>
      <c r="B32" s="99"/>
      <c r="C32" s="99"/>
      <c r="D32" s="99"/>
      <c r="E32" s="99"/>
      <c r="F32" s="100"/>
      <c r="G32" s="101"/>
      <c r="H32" s="99"/>
      <c r="I32" s="102"/>
      <c r="J32" s="99"/>
      <c r="K32" s="103"/>
      <c r="L32" s="71" t="s">
        <v>75</v>
      </c>
      <c r="M32" s="77" t="s">
        <v>76</v>
      </c>
      <c r="N32" s="81"/>
      <c r="O32" s="50"/>
      <c r="P32" s="81"/>
      <c r="Q32" s="78"/>
      <c r="R32" s="75">
        <f>E29</f>
        <v>1017487.56335</v>
      </c>
      <c r="S32" s="76"/>
    </row>
    <row r="33" spans="1:19" s="5" customFormat="1" ht="21.75" customHeight="1">
      <c r="A33" s="104" t="s">
        <v>77</v>
      </c>
      <c r="B33" s="50"/>
      <c r="C33" s="50"/>
      <c r="D33" s="50"/>
      <c r="E33" s="50"/>
      <c r="F33" s="84"/>
      <c r="G33" s="105" t="s">
        <v>78</v>
      </c>
      <c r="H33" s="106"/>
      <c r="I33" s="50"/>
      <c r="J33" s="50"/>
      <c r="K33" s="107"/>
      <c r="L33" s="71" t="s">
        <v>79</v>
      </c>
      <c r="M33" s="108" t="s">
        <v>80</v>
      </c>
      <c r="N33" s="109">
        <v>20</v>
      </c>
      <c r="O33" s="110" t="s">
        <v>81</v>
      </c>
      <c r="P33" s="111">
        <f>R32</f>
        <v>1017487.56335</v>
      </c>
      <c r="Q33" s="112"/>
      <c r="R33" s="113">
        <f>R35-R32</f>
        <v>203497.51266999985</v>
      </c>
      <c r="S33" s="107"/>
    </row>
    <row r="34" spans="1:19" s="5" customFormat="1" ht="12.75" customHeight="1">
      <c r="A34" s="114"/>
      <c r="B34" s="115"/>
      <c r="C34" s="115"/>
      <c r="D34" s="115"/>
      <c r="E34" s="115"/>
      <c r="F34" s="73"/>
      <c r="G34" s="116"/>
      <c r="H34" s="115"/>
      <c r="I34" s="115"/>
      <c r="J34" s="115"/>
      <c r="K34" s="117"/>
      <c r="L34" s="118"/>
      <c r="M34" s="118"/>
      <c r="N34" s="118"/>
      <c r="O34" s="118"/>
      <c r="P34" s="118"/>
      <c r="Q34" s="118"/>
      <c r="R34" s="119"/>
      <c r="S34" s="118"/>
    </row>
    <row r="35" spans="1:19" s="5" customFormat="1" ht="35.25" customHeight="1">
      <c r="A35" s="120" t="s">
        <v>7</v>
      </c>
      <c r="B35" s="121"/>
      <c r="C35" s="121"/>
      <c r="D35" s="121"/>
      <c r="E35" s="99"/>
      <c r="F35" s="100"/>
      <c r="G35" s="101"/>
      <c r="H35" s="99"/>
      <c r="I35" s="99"/>
      <c r="J35" s="99"/>
      <c r="K35" s="103"/>
      <c r="L35" s="90" t="s">
        <v>82</v>
      </c>
      <c r="M35" s="217" t="s">
        <v>83</v>
      </c>
      <c r="N35" s="217"/>
      <c r="O35" s="217"/>
      <c r="P35" s="217"/>
      <c r="Q35" s="217"/>
      <c r="R35" s="122">
        <f>R32*1.2</f>
        <v>1220985.0760199998</v>
      </c>
      <c r="S35" s="60"/>
    </row>
    <row r="36" spans="1:19" s="5" customFormat="1" ht="33" customHeight="1">
      <c r="A36" s="104" t="s">
        <v>77</v>
      </c>
      <c r="B36" s="50"/>
      <c r="C36" s="50"/>
      <c r="D36" s="50"/>
      <c r="E36" s="50"/>
      <c r="F36" s="84"/>
      <c r="G36" s="105" t="s">
        <v>78</v>
      </c>
      <c r="H36" s="50"/>
      <c r="I36" s="50"/>
      <c r="J36" s="50"/>
      <c r="K36" s="107"/>
      <c r="L36" s="64" t="s">
        <v>84</v>
      </c>
      <c r="M36" s="46"/>
      <c r="N36" s="66" t="s">
        <v>85</v>
      </c>
      <c r="O36" s="70"/>
      <c r="P36" s="45"/>
      <c r="Q36" s="46"/>
      <c r="R36" s="47"/>
      <c r="S36" s="51"/>
    </row>
    <row r="37" spans="1:19" s="5" customFormat="1" ht="23.25" customHeight="1">
      <c r="A37" s="123" t="s">
        <v>10</v>
      </c>
      <c r="B37" s="115"/>
      <c r="C37" s="115"/>
      <c r="D37" s="115"/>
      <c r="E37" s="115"/>
      <c r="F37" s="73"/>
      <c r="G37" s="116"/>
      <c r="H37" s="115"/>
      <c r="I37" s="115"/>
      <c r="J37" s="115"/>
      <c r="K37" s="117"/>
      <c r="L37" s="71" t="s">
        <v>86</v>
      </c>
      <c r="M37" s="77" t="s">
        <v>87</v>
      </c>
      <c r="N37" s="81"/>
      <c r="O37" s="50"/>
      <c r="P37" s="81"/>
      <c r="Q37" s="78"/>
      <c r="R37" s="75">
        <v>0</v>
      </c>
      <c r="S37" s="76"/>
    </row>
    <row r="38" spans="1:19" s="5" customFormat="1" ht="21.75" customHeight="1">
      <c r="A38" s="98"/>
      <c r="B38" s="99"/>
      <c r="C38" s="99"/>
      <c r="D38" s="99"/>
      <c r="E38" s="99"/>
      <c r="F38" s="100"/>
      <c r="G38" s="101"/>
      <c r="H38" s="99"/>
      <c r="I38" s="99"/>
      <c r="J38" s="99"/>
      <c r="K38" s="103"/>
      <c r="L38" s="71" t="s">
        <v>88</v>
      </c>
      <c r="M38" s="77" t="s">
        <v>89</v>
      </c>
      <c r="N38" s="81"/>
      <c r="O38" s="50"/>
      <c r="P38" s="81"/>
      <c r="Q38" s="78"/>
      <c r="R38" s="75">
        <v>0</v>
      </c>
      <c r="S38" s="76"/>
    </row>
    <row r="39" spans="1:19" s="5" customFormat="1" ht="21.75" customHeight="1">
      <c r="A39" s="124" t="s">
        <v>77</v>
      </c>
      <c r="B39" s="42"/>
      <c r="C39" s="42"/>
      <c r="D39" s="42"/>
      <c r="E39" s="42"/>
      <c r="F39" s="125"/>
      <c r="G39" s="126" t="s">
        <v>78</v>
      </c>
      <c r="H39" s="42"/>
      <c r="I39" s="42"/>
      <c r="J39" s="42"/>
      <c r="K39" s="127"/>
      <c r="L39" s="90" t="s">
        <v>90</v>
      </c>
      <c r="M39" s="91" t="s">
        <v>91</v>
      </c>
      <c r="N39" s="53"/>
      <c r="O39" s="42"/>
      <c r="P39" s="53"/>
      <c r="Q39" s="56"/>
      <c r="R39" s="92">
        <v>0</v>
      </c>
      <c r="S39" s="60"/>
    </row>
  </sheetData>
  <mergeCells count="12">
    <mergeCell ref="E5:M5"/>
    <mergeCell ref="E6:M6"/>
    <mergeCell ref="E7:M7"/>
    <mergeCell ref="E9:M9"/>
    <mergeCell ref="E10:M10"/>
    <mergeCell ref="B29:D29"/>
    <mergeCell ref="M35:Q35"/>
    <mergeCell ref="E11:M11"/>
    <mergeCell ref="B13:D13"/>
    <mergeCell ref="E13:M13"/>
    <mergeCell ref="H16:I16"/>
    <mergeCell ref="K16:M16"/>
  </mergeCells>
  <pageMargins left="0.78749999999999998" right="0.78749999999999998" top="1.05277777777778" bottom="1.05277777777778" header="0.78749999999999998" footer="0.78749999999999998"/>
  <pageSetup paperSize="9" scale="93" firstPageNumber="0" fitToHeight="0" orientation="portrait" horizontalDpi="300" verticalDpi="300" r:id="rId1"/>
  <headerFooter>
    <oddHeader>&amp;C&amp;"Times New Roman,Normálne"&amp;12&amp;A</oddHeader>
    <oddFooter>&amp;C&amp;"Times New Roman,Normálne"&amp;12Strana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BM114"/>
  <sheetViews>
    <sheetView showGridLines="0" topLeftCell="E94" zoomScaleNormal="100" workbookViewId="0">
      <selection activeCell="AB24" sqref="AB24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5" customWidth="1"/>
    <col min="5" max="5" width="17.1640625" customWidth="1"/>
    <col min="6" max="6" width="50.83203125" customWidth="1"/>
    <col min="7" max="7" width="7.5" customWidth="1"/>
    <col min="8" max="8" width="14" style="128" customWidth="1"/>
    <col min="9" max="9" width="15.83203125" style="128" customWidth="1"/>
    <col min="10" max="10" width="22.33203125" style="128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 customWidth="1"/>
    <col min="15" max="20" width="14.1640625" hidden="1" customWidth="1"/>
    <col min="21" max="21" width="16.33203125" hidden="1" customWidth="1"/>
    <col min="22" max="22" width="16.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32" max="43" width="8.83203125" customWidth="1"/>
    <col min="44" max="65" width="9.33203125" hidden="1" customWidth="1"/>
    <col min="66" max="1025" width="8.83203125" customWidth="1"/>
  </cols>
  <sheetData>
    <row r="1" spans="2:63" s="129" customFormat="1" ht="6.95" customHeight="1">
      <c r="B1" s="130"/>
      <c r="C1" s="131"/>
      <c r="D1" s="131"/>
      <c r="E1" s="131"/>
      <c r="F1" s="131"/>
      <c r="G1" s="131"/>
      <c r="H1" s="132"/>
      <c r="I1" s="132"/>
      <c r="J1" s="132"/>
      <c r="K1" s="131"/>
      <c r="L1" s="133"/>
    </row>
    <row r="2" spans="2:63" s="129" customFormat="1" ht="24.95" customHeight="1">
      <c r="B2" s="133"/>
      <c r="C2" s="134" t="s">
        <v>92</v>
      </c>
      <c r="H2" s="135"/>
      <c r="I2" s="135"/>
      <c r="J2" s="135"/>
      <c r="L2" s="133"/>
    </row>
    <row r="3" spans="2:63" s="129" customFormat="1" ht="6.95" customHeight="1">
      <c r="B3" s="133"/>
      <c r="H3" s="135"/>
      <c r="I3" s="135"/>
      <c r="J3" s="135"/>
      <c r="L3" s="133"/>
    </row>
    <row r="4" spans="2:63" s="129" customFormat="1" ht="12" customHeight="1">
      <c r="B4" s="133"/>
      <c r="C4" s="136" t="s">
        <v>93</v>
      </c>
      <c r="E4"/>
      <c r="F4" s="137" t="s">
        <v>94</v>
      </c>
      <c r="H4" s="135"/>
      <c r="I4" s="135"/>
      <c r="J4" s="135"/>
      <c r="L4" s="133"/>
    </row>
    <row r="5" spans="2:63" s="129" customFormat="1" ht="16.5" customHeight="1">
      <c r="B5" s="133"/>
      <c r="E5" s="227"/>
      <c r="F5" s="227"/>
      <c r="G5" s="227"/>
      <c r="H5" s="227"/>
      <c r="I5" s="135"/>
      <c r="J5" s="135"/>
      <c r="L5" s="133"/>
    </row>
    <row r="6" spans="2:63" s="129" customFormat="1" ht="12" customHeight="1">
      <c r="B6" s="133"/>
      <c r="C6" s="136" t="s">
        <v>95</v>
      </c>
      <c r="H6" s="135"/>
      <c r="I6" s="135"/>
      <c r="J6" s="135"/>
      <c r="L6" s="133"/>
    </row>
    <row r="7" spans="2:63" s="129" customFormat="1" ht="16.5" customHeight="1">
      <c r="B7" s="133"/>
      <c r="E7" s="228"/>
      <c r="F7" s="228"/>
      <c r="G7" s="228"/>
      <c r="H7" s="228"/>
      <c r="I7" s="135"/>
      <c r="J7" s="135"/>
      <c r="L7" s="133"/>
    </row>
    <row r="8" spans="2:63" s="129" customFormat="1" ht="6.95" customHeight="1">
      <c r="B8" s="133"/>
      <c r="H8" s="135"/>
      <c r="I8" s="135"/>
      <c r="J8" s="135"/>
      <c r="L8" s="133"/>
    </row>
    <row r="9" spans="2:63" s="129" customFormat="1" ht="12" customHeight="1">
      <c r="B9" s="133"/>
      <c r="C9" s="136" t="s">
        <v>96</v>
      </c>
      <c r="E9"/>
      <c r="F9" s="138" t="s">
        <v>97</v>
      </c>
      <c r="H9" s="135"/>
      <c r="I9" s="139" t="s">
        <v>98</v>
      </c>
      <c r="J9" s="140"/>
      <c r="L9" s="133"/>
    </row>
    <row r="10" spans="2:63" s="129" customFormat="1" ht="6.95" customHeight="1">
      <c r="B10" s="133"/>
      <c r="F10" s="138"/>
      <c r="H10" s="135"/>
      <c r="I10" s="135"/>
      <c r="J10" s="135"/>
      <c r="L10" s="133"/>
    </row>
    <row r="11" spans="2:63" s="129" customFormat="1" ht="15.2" customHeight="1">
      <c r="B11" s="133"/>
      <c r="C11" s="136" t="s">
        <v>99</v>
      </c>
      <c r="F11" s="229" t="s">
        <v>100</v>
      </c>
      <c r="H11" s="135"/>
      <c r="I11" s="139" t="s">
        <v>101</v>
      </c>
      <c r="J11" s="141"/>
      <c r="L11" s="133"/>
    </row>
    <row r="12" spans="2:63" s="129" customFormat="1" ht="15.2" customHeight="1">
      <c r="B12" s="133"/>
      <c r="C12" s="136"/>
      <c r="F12" s="229"/>
      <c r="H12" s="135"/>
      <c r="I12" s="139" t="s">
        <v>102</v>
      </c>
      <c r="J12" s="141"/>
      <c r="L12" s="133"/>
    </row>
    <row r="13" spans="2:63" s="129" customFormat="1" ht="10.35" customHeight="1">
      <c r="B13" s="133"/>
      <c r="H13" s="135"/>
      <c r="I13" s="135"/>
      <c r="J13" s="135"/>
      <c r="L13" s="133"/>
    </row>
    <row r="14" spans="2:63" s="142" customFormat="1" ht="29.25" customHeight="1">
      <c r="B14" s="143"/>
      <c r="C14" s="144" t="s">
        <v>103</v>
      </c>
      <c r="D14" s="145" t="s">
        <v>104</v>
      </c>
      <c r="E14" s="145" t="s">
        <v>105</v>
      </c>
      <c r="F14" s="145" t="s">
        <v>106</v>
      </c>
      <c r="G14" s="145" t="s">
        <v>107</v>
      </c>
      <c r="H14" s="146" t="s">
        <v>108</v>
      </c>
      <c r="I14" s="146" t="s">
        <v>109</v>
      </c>
      <c r="J14" s="147" t="s">
        <v>110</v>
      </c>
      <c r="K14" s="148" t="s">
        <v>111</v>
      </c>
      <c r="L14" s="143"/>
      <c r="M14" s="149"/>
      <c r="N14" s="150" t="s">
        <v>80</v>
      </c>
      <c r="O14" s="150" t="s">
        <v>112</v>
      </c>
      <c r="P14" s="150" t="s">
        <v>113</v>
      </c>
      <c r="Q14" s="150" t="s">
        <v>114</v>
      </c>
      <c r="R14" s="150" t="s">
        <v>115</v>
      </c>
      <c r="S14" s="150" t="s">
        <v>116</v>
      </c>
      <c r="T14" s="151" t="s">
        <v>117</v>
      </c>
    </row>
    <row r="15" spans="2:63" s="129" customFormat="1" ht="22.9" customHeight="1">
      <c r="B15" s="133"/>
      <c r="C15" s="152" t="s">
        <v>118</v>
      </c>
      <c r="H15" s="135"/>
      <c r="I15" s="135"/>
      <c r="J15" s="153">
        <f>SUM(J16+J97+J105)</f>
        <v>1017487.56335</v>
      </c>
      <c r="L15" s="133"/>
      <c r="M15" s="154"/>
      <c r="N15" s="155"/>
      <c r="O15" s="155"/>
      <c r="P15" s="156" t="e">
        <f>P16+P97</f>
        <v>#REF!</v>
      </c>
      <c r="Q15" s="155"/>
      <c r="R15" s="156" t="e">
        <f>R16+R97</f>
        <v>#REF!</v>
      </c>
      <c r="S15" s="155"/>
      <c r="T15" s="157" t="e">
        <f>T16+T97</f>
        <v>#REF!</v>
      </c>
      <c r="AT15" s="158" t="s">
        <v>73</v>
      </c>
      <c r="AU15" s="158" t="s">
        <v>119</v>
      </c>
      <c r="BK15" s="159" t="e">
        <f>BK16+BK97</f>
        <v>#REF!</v>
      </c>
    </row>
    <row r="16" spans="2:63" s="160" customFormat="1" ht="25.9" customHeight="1">
      <c r="B16" s="161"/>
      <c r="D16" s="162" t="s">
        <v>73</v>
      </c>
      <c r="E16" s="163" t="s">
        <v>32</v>
      </c>
      <c r="F16" s="163" t="s">
        <v>120</v>
      </c>
      <c r="H16" s="164"/>
      <c r="I16" s="164"/>
      <c r="J16" s="165">
        <f>J17+J39+J42+J49+J54+J67+J70+J78+J95</f>
        <v>1007518.32335</v>
      </c>
      <c r="L16" s="161"/>
      <c r="M16" s="166"/>
      <c r="P16" s="167" t="e">
        <f>P17+P39+P42+P49+P54+P67+P70+P95</f>
        <v>#REF!</v>
      </c>
      <c r="R16" s="167" t="e">
        <f>R17+R39+R42+R49+R54+R67+R70+R95</f>
        <v>#REF!</v>
      </c>
      <c r="T16" s="168" t="e">
        <f>T17+T39+T42+T49+T54+T67+T70+T95</f>
        <v>#REF!</v>
      </c>
      <c r="AR16" s="162" t="s">
        <v>31</v>
      </c>
      <c r="AT16" s="169" t="s">
        <v>73</v>
      </c>
      <c r="AU16" s="169" t="s">
        <v>121</v>
      </c>
      <c r="AY16" s="162" t="s">
        <v>122</v>
      </c>
      <c r="BK16" s="170" t="e">
        <f>BK17+BK39+BK42+BK49+BK54+BK67+BK70+BK95</f>
        <v>#REF!</v>
      </c>
    </row>
    <row r="17" spans="2:65" s="171" customFormat="1" ht="22.9" customHeight="1">
      <c r="B17" s="172"/>
      <c r="D17" s="173" t="s">
        <v>73</v>
      </c>
      <c r="E17" s="174" t="s">
        <v>31</v>
      </c>
      <c r="F17" s="174" t="s">
        <v>123</v>
      </c>
      <c r="H17" s="175"/>
      <c r="I17" s="175"/>
      <c r="J17" s="176">
        <f>SUM(J18:J38)</f>
        <v>140615.04644999999</v>
      </c>
      <c r="L17" s="172"/>
      <c r="M17" s="177"/>
      <c r="P17" s="178">
        <f>SUM(P20:P38)</f>
        <v>1085.6409600000002</v>
      </c>
      <c r="R17" s="178">
        <f>SUM(R20:R38)</f>
        <v>0</v>
      </c>
      <c r="T17" s="179">
        <f>SUM(T20:T38)</f>
        <v>0</v>
      </c>
      <c r="V17" s="175"/>
      <c r="AR17" s="173" t="s">
        <v>31</v>
      </c>
      <c r="AT17" s="180" t="s">
        <v>73</v>
      </c>
      <c r="AU17" s="180" t="s">
        <v>31</v>
      </c>
      <c r="AY17" s="173" t="s">
        <v>122</v>
      </c>
      <c r="BK17" s="181">
        <f>SUM(BK20:BK38)</f>
        <v>121256.36</v>
      </c>
    </row>
    <row r="18" spans="2:65" s="129" customFormat="1" ht="36">
      <c r="B18" s="182"/>
      <c r="C18" s="183" t="s">
        <v>31</v>
      </c>
      <c r="D18" s="183" t="s">
        <v>124</v>
      </c>
      <c r="E18" s="184" t="s">
        <v>125</v>
      </c>
      <c r="F18" s="185" t="s">
        <v>126</v>
      </c>
      <c r="G18" s="186" t="s">
        <v>127</v>
      </c>
      <c r="H18" s="187">
        <f>H59</f>
        <v>1001</v>
      </c>
      <c r="I18" s="187">
        <v>4.05</v>
      </c>
      <c r="J18" s="187">
        <f>ROUND(I18*H18,3)</f>
        <v>4054.05</v>
      </c>
      <c r="K18" s="188"/>
      <c r="L18" s="133"/>
      <c r="M18" s="189"/>
      <c r="N18" s="190"/>
      <c r="O18" s="191"/>
      <c r="P18" s="191"/>
      <c r="Q18" s="191"/>
      <c r="R18" s="191"/>
      <c r="S18" s="191"/>
      <c r="T18" s="192"/>
      <c r="V18" s="135"/>
      <c r="AR18" s="193"/>
      <c r="AT18" s="193"/>
      <c r="AU18" s="193"/>
      <c r="AY18" s="158"/>
      <c r="BE18" s="194"/>
      <c r="BF18" s="194"/>
      <c r="BG18" s="194"/>
      <c r="BH18" s="194"/>
      <c r="BI18" s="194"/>
      <c r="BJ18" s="158"/>
      <c r="BK18" s="194"/>
      <c r="BL18" s="158"/>
      <c r="BM18" s="193"/>
    </row>
    <row r="19" spans="2:65" s="129" customFormat="1" ht="24">
      <c r="B19" s="182"/>
      <c r="C19" s="183"/>
      <c r="D19" s="183"/>
      <c r="E19" s="184"/>
      <c r="F19" s="185" t="s">
        <v>128</v>
      </c>
      <c r="G19" s="186" t="s">
        <v>129</v>
      </c>
      <c r="H19" s="187">
        <f>9+102+102</f>
        <v>213</v>
      </c>
      <c r="I19" s="187">
        <v>13.8</v>
      </c>
      <c r="J19" s="187">
        <f>ROUND(I19*H19,3)</f>
        <v>2939.4</v>
      </c>
      <c r="K19" s="188"/>
      <c r="L19" s="133"/>
      <c r="M19" s="189"/>
      <c r="N19" s="190"/>
      <c r="O19" s="191"/>
      <c r="P19" s="191"/>
      <c r="Q19" s="191"/>
      <c r="R19" s="191"/>
      <c r="S19" s="191"/>
      <c r="T19" s="192"/>
      <c r="AR19" s="193"/>
      <c r="AT19" s="193"/>
      <c r="AU19" s="193"/>
      <c r="AY19" s="158"/>
      <c r="BE19" s="194"/>
      <c r="BF19" s="194"/>
      <c r="BG19" s="194"/>
      <c r="BH19" s="194"/>
      <c r="BI19" s="194"/>
      <c r="BJ19" s="158"/>
      <c r="BK19" s="194"/>
      <c r="BL19" s="158"/>
      <c r="BM19" s="193"/>
    </row>
    <row r="20" spans="2:65" s="129" customFormat="1" ht="36">
      <c r="B20" s="182"/>
      <c r="C20" s="183" t="s">
        <v>31</v>
      </c>
      <c r="D20" s="183" t="s">
        <v>124</v>
      </c>
      <c r="E20" s="184" t="s">
        <v>130</v>
      </c>
      <c r="F20" s="185" t="s">
        <v>131</v>
      </c>
      <c r="G20" s="186" t="s">
        <v>127</v>
      </c>
      <c r="H20" s="187">
        <f>H59</f>
        <v>1001</v>
      </c>
      <c r="I20" s="187">
        <v>4.41</v>
      </c>
      <c r="J20" s="187">
        <f>ROUND(I20*H20,3)</f>
        <v>4414.41</v>
      </c>
      <c r="K20" s="188"/>
      <c r="L20" s="133"/>
      <c r="M20" s="189"/>
      <c r="N20" s="190" t="s">
        <v>132</v>
      </c>
      <c r="O20" s="191">
        <v>0</v>
      </c>
      <c r="P20" s="191">
        <f t="shared" ref="P20:P27" si="0">O20*H20</f>
        <v>0</v>
      </c>
      <c r="Q20" s="191">
        <v>0</v>
      </c>
      <c r="R20" s="191">
        <f t="shared" ref="R20:R27" si="1">Q20*H20</f>
        <v>0</v>
      </c>
      <c r="S20" s="191">
        <v>0</v>
      </c>
      <c r="T20" s="192">
        <f t="shared" ref="T20:T27" si="2">S20*H20</f>
        <v>0</v>
      </c>
      <c r="AR20" s="193" t="s">
        <v>50</v>
      </c>
      <c r="AT20" s="193" t="s">
        <v>124</v>
      </c>
      <c r="AU20" s="193" t="s">
        <v>38</v>
      </c>
      <c r="AY20" s="158" t="s">
        <v>122</v>
      </c>
      <c r="BE20" s="194">
        <f t="shared" ref="BE20:BE27" si="3">IF(N20="základná",J20,0)</f>
        <v>0</v>
      </c>
      <c r="BF20" s="194">
        <f t="shared" ref="BF20:BF27" si="4">IF(N20="znížená",J20,0)</f>
        <v>4414.41</v>
      </c>
      <c r="BG20" s="194">
        <f t="shared" ref="BG20:BG27" si="5">IF(N20="zákl. prenesená",J20,0)</f>
        <v>0</v>
      </c>
      <c r="BH20" s="194">
        <f t="shared" ref="BH20:BH27" si="6">IF(N20="zníž. prenesená",J20,0)</f>
        <v>0</v>
      </c>
      <c r="BI20" s="194">
        <f t="shared" ref="BI20:BI27" si="7">IF(N20="nulová",J20,0)</f>
        <v>0</v>
      </c>
      <c r="BJ20" s="158" t="s">
        <v>38</v>
      </c>
      <c r="BK20" s="194">
        <f t="shared" ref="BK20:BK27" si="8">ROUND(I20*H20,2)</f>
        <v>4414.41</v>
      </c>
      <c r="BL20" s="158" t="s">
        <v>50</v>
      </c>
      <c r="BM20" s="193" t="s">
        <v>38</v>
      </c>
    </row>
    <row r="21" spans="2:65" s="129" customFormat="1" ht="24">
      <c r="B21" s="182"/>
      <c r="C21" s="183" t="s">
        <v>38</v>
      </c>
      <c r="D21" s="183" t="s">
        <v>124</v>
      </c>
      <c r="E21" s="184" t="s">
        <v>133</v>
      </c>
      <c r="F21" s="185" t="s">
        <v>134</v>
      </c>
      <c r="G21" s="186" t="s">
        <v>135</v>
      </c>
      <c r="H21" s="187">
        <f>14*24</f>
        <v>336</v>
      </c>
      <c r="I21" s="187">
        <v>5.31</v>
      </c>
      <c r="J21" s="187">
        <f t="shared" ref="J21:J25" si="9">ROUND(I21*H21,2)</f>
        <v>1784.16</v>
      </c>
      <c r="K21" s="188"/>
      <c r="L21" s="133"/>
      <c r="M21" s="189"/>
      <c r="N21" s="190" t="s">
        <v>132</v>
      </c>
      <c r="O21" s="191">
        <v>0.22336</v>
      </c>
      <c r="P21" s="191">
        <f t="shared" si="0"/>
        <v>75.048959999999994</v>
      </c>
      <c r="Q21" s="191">
        <v>0</v>
      </c>
      <c r="R21" s="191">
        <f t="shared" si="1"/>
        <v>0</v>
      </c>
      <c r="S21" s="191">
        <v>0</v>
      </c>
      <c r="T21" s="192">
        <f t="shared" si="2"/>
        <v>0</v>
      </c>
      <c r="AR21" s="193" t="s">
        <v>50</v>
      </c>
      <c r="AT21" s="193" t="s">
        <v>124</v>
      </c>
      <c r="AU21" s="193" t="s">
        <v>38</v>
      </c>
      <c r="AY21" s="158" t="s">
        <v>122</v>
      </c>
      <c r="BE21" s="194">
        <f t="shared" si="3"/>
        <v>0</v>
      </c>
      <c r="BF21" s="194">
        <f t="shared" si="4"/>
        <v>1784.16</v>
      </c>
      <c r="BG21" s="194">
        <f t="shared" si="5"/>
        <v>0</v>
      </c>
      <c r="BH21" s="194">
        <f t="shared" si="6"/>
        <v>0</v>
      </c>
      <c r="BI21" s="194">
        <f t="shared" si="7"/>
        <v>0</v>
      </c>
      <c r="BJ21" s="158" t="s">
        <v>38</v>
      </c>
      <c r="BK21" s="194">
        <f t="shared" si="8"/>
        <v>1784.16</v>
      </c>
      <c r="BL21" s="158" t="s">
        <v>50</v>
      </c>
      <c r="BM21" s="193" t="s">
        <v>136</v>
      </c>
    </row>
    <row r="22" spans="2:65" s="129" customFormat="1" ht="24">
      <c r="B22" s="182"/>
      <c r="C22" s="183" t="s">
        <v>44</v>
      </c>
      <c r="D22" s="183" t="s">
        <v>124</v>
      </c>
      <c r="E22" s="184" t="s">
        <v>137</v>
      </c>
      <c r="F22" s="185" t="s">
        <v>138</v>
      </c>
      <c r="G22" s="186" t="s">
        <v>139</v>
      </c>
      <c r="H22" s="187">
        <v>14</v>
      </c>
      <c r="I22" s="187">
        <v>3.54</v>
      </c>
      <c r="J22" s="187">
        <f t="shared" si="9"/>
        <v>49.56</v>
      </c>
      <c r="K22" s="188"/>
      <c r="L22" s="133"/>
      <c r="M22" s="189"/>
      <c r="N22" s="190" t="s">
        <v>132</v>
      </c>
      <c r="O22" s="191">
        <v>0</v>
      </c>
      <c r="P22" s="191">
        <f t="shared" si="0"/>
        <v>0</v>
      </c>
      <c r="Q22" s="191">
        <v>0</v>
      </c>
      <c r="R22" s="191">
        <f t="shared" si="1"/>
        <v>0</v>
      </c>
      <c r="S22" s="191">
        <v>0</v>
      </c>
      <c r="T22" s="192">
        <f t="shared" si="2"/>
        <v>0</v>
      </c>
      <c r="AR22" s="193" t="s">
        <v>50</v>
      </c>
      <c r="AT22" s="193" t="s">
        <v>124</v>
      </c>
      <c r="AU22" s="193" t="s">
        <v>38</v>
      </c>
      <c r="AY22" s="158" t="s">
        <v>122</v>
      </c>
      <c r="BE22" s="194">
        <f t="shared" si="3"/>
        <v>0</v>
      </c>
      <c r="BF22" s="194">
        <f t="shared" si="4"/>
        <v>49.56</v>
      </c>
      <c r="BG22" s="194">
        <f t="shared" si="5"/>
        <v>0</v>
      </c>
      <c r="BH22" s="194">
        <f t="shared" si="6"/>
        <v>0</v>
      </c>
      <c r="BI22" s="194">
        <f t="shared" si="7"/>
        <v>0</v>
      </c>
      <c r="BJ22" s="158" t="s">
        <v>38</v>
      </c>
      <c r="BK22" s="194">
        <f t="shared" si="8"/>
        <v>49.56</v>
      </c>
      <c r="BL22" s="158" t="s">
        <v>50</v>
      </c>
      <c r="BM22" s="193" t="s">
        <v>140</v>
      </c>
    </row>
    <row r="23" spans="2:65" s="129" customFormat="1" ht="24">
      <c r="B23" s="182"/>
      <c r="C23" s="183" t="s">
        <v>50</v>
      </c>
      <c r="D23" s="183" t="s">
        <v>124</v>
      </c>
      <c r="E23" s="184" t="s">
        <v>141</v>
      </c>
      <c r="F23" s="185" t="s">
        <v>142</v>
      </c>
      <c r="G23" s="186" t="s">
        <v>127</v>
      </c>
      <c r="H23" s="187">
        <v>15312</v>
      </c>
      <c r="I23" s="187">
        <v>1.01</v>
      </c>
      <c r="J23" s="187">
        <f t="shared" si="9"/>
        <v>15465.12</v>
      </c>
      <c r="K23" s="188"/>
      <c r="L23" s="133"/>
      <c r="M23" s="189"/>
      <c r="N23" s="190" t="s">
        <v>132</v>
      </c>
      <c r="O23" s="191">
        <v>6.6000000000000003E-2</v>
      </c>
      <c r="P23" s="191">
        <f t="shared" si="0"/>
        <v>1010.5920000000001</v>
      </c>
      <c r="Q23" s="191">
        <v>0</v>
      </c>
      <c r="R23" s="191">
        <f t="shared" si="1"/>
        <v>0</v>
      </c>
      <c r="S23" s="191">
        <v>0</v>
      </c>
      <c r="T23" s="192">
        <f t="shared" si="2"/>
        <v>0</v>
      </c>
      <c r="AR23" s="193" t="s">
        <v>50</v>
      </c>
      <c r="AT23" s="193" t="s">
        <v>124</v>
      </c>
      <c r="AU23" s="193" t="s">
        <v>38</v>
      </c>
      <c r="AY23" s="158" t="s">
        <v>122</v>
      </c>
      <c r="BE23" s="194">
        <f t="shared" si="3"/>
        <v>0</v>
      </c>
      <c r="BF23" s="194">
        <f t="shared" si="4"/>
        <v>15465.12</v>
      </c>
      <c r="BG23" s="194">
        <f t="shared" si="5"/>
        <v>0</v>
      </c>
      <c r="BH23" s="194">
        <f t="shared" si="6"/>
        <v>0</v>
      </c>
      <c r="BI23" s="194">
        <f t="shared" si="7"/>
        <v>0</v>
      </c>
      <c r="BJ23" s="158" t="s">
        <v>38</v>
      </c>
      <c r="BK23" s="194">
        <f t="shared" si="8"/>
        <v>15465.12</v>
      </c>
      <c r="BL23" s="158" t="s">
        <v>50</v>
      </c>
      <c r="BM23" s="193" t="s">
        <v>143</v>
      </c>
    </row>
    <row r="24" spans="2:65" s="129" customFormat="1" ht="36">
      <c r="B24" s="182"/>
      <c r="C24" s="183" t="s">
        <v>54</v>
      </c>
      <c r="D24" s="183" t="s">
        <v>124</v>
      </c>
      <c r="E24" s="184" t="s">
        <v>144</v>
      </c>
      <c r="F24" s="185" t="s">
        <v>145</v>
      </c>
      <c r="G24" s="186" t="s">
        <v>127</v>
      </c>
      <c r="H24" s="187">
        <v>15312</v>
      </c>
      <c r="I24" s="187">
        <v>0.16</v>
      </c>
      <c r="J24" s="187">
        <f t="shared" si="9"/>
        <v>2449.92</v>
      </c>
      <c r="K24" s="188"/>
      <c r="L24" s="133"/>
      <c r="M24" s="189"/>
      <c r="N24" s="190" t="s">
        <v>132</v>
      </c>
      <c r="O24" s="191">
        <v>0</v>
      </c>
      <c r="P24" s="191">
        <f t="shared" si="0"/>
        <v>0</v>
      </c>
      <c r="Q24" s="191">
        <v>0</v>
      </c>
      <c r="R24" s="191">
        <f t="shared" si="1"/>
        <v>0</v>
      </c>
      <c r="S24" s="191">
        <v>0</v>
      </c>
      <c r="T24" s="192">
        <f t="shared" si="2"/>
        <v>0</v>
      </c>
      <c r="AR24" s="193" t="s">
        <v>50</v>
      </c>
      <c r="AT24" s="193" t="s">
        <v>124</v>
      </c>
      <c r="AU24" s="193" t="s">
        <v>38</v>
      </c>
      <c r="AY24" s="158" t="s">
        <v>122</v>
      </c>
      <c r="BE24" s="194">
        <f t="shared" si="3"/>
        <v>0</v>
      </c>
      <c r="BF24" s="194">
        <f t="shared" si="4"/>
        <v>2449.92</v>
      </c>
      <c r="BG24" s="194">
        <f t="shared" si="5"/>
        <v>0</v>
      </c>
      <c r="BH24" s="194">
        <f t="shared" si="6"/>
        <v>0</v>
      </c>
      <c r="BI24" s="194">
        <f t="shared" si="7"/>
        <v>0</v>
      </c>
      <c r="BJ24" s="158" t="s">
        <v>38</v>
      </c>
      <c r="BK24" s="194">
        <f t="shared" si="8"/>
        <v>2449.92</v>
      </c>
      <c r="BL24" s="158" t="s">
        <v>50</v>
      </c>
      <c r="BM24" s="193" t="s">
        <v>58</v>
      </c>
    </row>
    <row r="25" spans="2:65" s="129" customFormat="1" ht="36">
      <c r="B25" s="182"/>
      <c r="C25" s="183" t="s">
        <v>58</v>
      </c>
      <c r="D25" s="183" t="s">
        <v>124</v>
      </c>
      <c r="E25" s="184" t="s">
        <v>146</v>
      </c>
      <c r="F25" s="185" t="s">
        <v>147</v>
      </c>
      <c r="G25" s="186" t="s">
        <v>127</v>
      </c>
      <c r="H25" s="187">
        <v>15312</v>
      </c>
      <c r="I25" s="187">
        <v>1.27</v>
      </c>
      <c r="J25" s="187">
        <f t="shared" si="9"/>
        <v>19446.240000000002</v>
      </c>
      <c r="K25" s="188"/>
      <c r="L25" s="133"/>
      <c r="M25" s="189"/>
      <c r="N25" s="190" t="s">
        <v>132</v>
      </c>
      <c r="O25" s="191">
        <v>0</v>
      </c>
      <c r="P25" s="191">
        <f t="shared" si="0"/>
        <v>0</v>
      </c>
      <c r="Q25" s="191">
        <v>0</v>
      </c>
      <c r="R25" s="191">
        <f t="shared" si="1"/>
        <v>0</v>
      </c>
      <c r="S25" s="191">
        <v>0</v>
      </c>
      <c r="T25" s="192">
        <f t="shared" si="2"/>
        <v>0</v>
      </c>
      <c r="AR25" s="193" t="s">
        <v>50</v>
      </c>
      <c r="AT25" s="193" t="s">
        <v>124</v>
      </c>
      <c r="AU25" s="193" t="s">
        <v>38</v>
      </c>
      <c r="AY25" s="158" t="s">
        <v>122</v>
      </c>
      <c r="BE25" s="194">
        <f t="shared" si="3"/>
        <v>0</v>
      </c>
      <c r="BF25" s="194">
        <f t="shared" si="4"/>
        <v>19446.240000000002</v>
      </c>
      <c r="BG25" s="194">
        <f t="shared" si="5"/>
        <v>0</v>
      </c>
      <c r="BH25" s="194">
        <f t="shared" si="6"/>
        <v>0</v>
      </c>
      <c r="BI25" s="194">
        <f t="shared" si="7"/>
        <v>0</v>
      </c>
      <c r="BJ25" s="158" t="s">
        <v>38</v>
      </c>
      <c r="BK25" s="194">
        <f t="shared" si="8"/>
        <v>19446.240000000002</v>
      </c>
      <c r="BL25" s="158" t="s">
        <v>50</v>
      </c>
      <c r="BM25" s="193" t="s">
        <v>34</v>
      </c>
    </row>
    <row r="26" spans="2:65" s="129" customFormat="1" ht="12">
      <c r="B26" s="182"/>
      <c r="C26" s="183" t="s">
        <v>34</v>
      </c>
      <c r="D26" s="183" t="s">
        <v>124</v>
      </c>
      <c r="E26" s="184" t="s">
        <v>148</v>
      </c>
      <c r="F26" s="185" t="s">
        <v>149</v>
      </c>
      <c r="G26" s="186" t="s">
        <v>150</v>
      </c>
      <c r="H26" s="187">
        <f>H53*1*0.3</f>
        <v>15.299999999999999</v>
      </c>
      <c r="I26" s="187">
        <v>38.76</v>
      </c>
      <c r="J26" s="187">
        <f>ROUNDUP(I26*H26,3)</f>
        <v>593.02800000000002</v>
      </c>
      <c r="K26" s="188"/>
      <c r="L26" s="133"/>
      <c r="M26" s="189"/>
      <c r="N26" s="190" t="s">
        <v>132</v>
      </c>
      <c r="O26" s="191">
        <v>0</v>
      </c>
      <c r="P26" s="191">
        <f t="shared" si="0"/>
        <v>0</v>
      </c>
      <c r="Q26" s="191">
        <v>0</v>
      </c>
      <c r="R26" s="191">
        <f t="shared" si="1"/>
        <v>0</v>
      </c>
      <c r="S26" s="191">
        <v>0</v>
      </c>
      <c r="T26" s="192">
        <f t="shared" si="2"/>
        <v>0</v>
      </c>
      <c r="AR26" s="193" t="s">
        <v>50</v>
      </c>
      <c r="AT26" s="193" t="s">
        <v>124</v>
      </c>
      <c r="AU26" s="193" t="s">
        <v>38</v>
      </c>
      <c r="AY26" s="158" t="s">
        <v>122</v>
      </c>
      <c r="BE26" s="194">
        <f t="shared" si="3"/>
        <v>0</v>
      </c>
      <c r="BF26" s="194">
        <f t="shared" si="4"/>
        <v>593.02800000000002</v>
      </c>
      <c r="BG26" s="194">
        <f t="shared" si="5"/>
        <v>0</v>
      </c>
      <c r="BH26" s="194">
        <f t="shared" si="6"/>
        <v>0</v>
      </c>
      <c r="BI26" s="194">
        <f t="shared" si="7"/>
        <v>0</v>
      </c>
      <c r="BJ26" s="158" t="s">
        <v>38</v>
      </c>
      <c r="BK26" s="194">
        <f t="shared" si="8"/>
        <v>593.03</v>
      </c>
      <c r="BL26" s="158" t="s">
        <v>50</v>
      </c>
      <c r="BM26" s="193" t="s">
        <v>63</v>
      </c>
    </row>
    <row r="27" spans="2:65" s="129" customFormat="1" ht="36">
      <c r="B27" s="182"/>
      <c r="C27" s="183" t="s">
        <v>40</v>
      </c>
      <c r="D27" s="183" t="s">
        <v>124</v>
      </c>
      <c r="E27" s="184" t="s">
        <v>151</v>
      </c>
      <c r="F27" s="185" t="s">
        <v>152</v>
      </c>
      <c r="G27" s="186" t="s">
        <v>150</v>
      </c>
      <c r="H27" s="187">
        <f>H26</f>
        <v>15.299999999999999</v>
      </c>
      <c r="I27" s="187">
        <v>10.95</v>
      </c>
      <c r="J27" s="187">
        <f>ROUND(I27*H27,3)</f>
        <v>167.535</v>
      </c>
      <c r="K27" s="188"/>
      <c r="L27" s="133"/>
      <c r="M27" s="189"/>
      <c r="N27" s="190" t="s">
        <v>132</v>
      </c>
      <c r="O27" s="191">
        <v>0</v>
      </c>
      <c r="P27" s="191">
        <f t="shared" si="0"/>
        <v>0</v>
      </c>
      <c r="Q27" s="191">
        <v>0</v>
      </c>
      <c r="R27" s="191">
        <f t="shared" si="1"/>
        <v>0</v>
      </c>
      <c r="S27" s="191">
        <v>0</v>
      </c>
      <c r="T27" s="192">
        <f t="shared" si="2"/>
        <v>0</v>
      </c>
      <c r="AR27" s="193" t="s">
        <v>50</v>
      </c>
      <c r="AT27" s="193" t="s">
        <v>124</v>
      </c>
      <c r="AU27" s="193" t="s">
        <v>38</v>
      </c>
      <c r="AY27" s="158" t="s">
        <v>122</v>
      </c>
      <c r="BE27" s="194">
        <f t="shared" si="3"/>
        <v>0</v>
      </c>
      <c r="BF27" s="194">
        <f t="shared" si="4"/>
        <v>167.535</v>
      </c>
      <c r="BG27" s="194">
        <f t="shared" si="5"/>
        <v>0</v>
      </c>
      <c r="BH27" s="194">
        <f t="shared" si="6"/>
        <v>0</v>
      </c>
      <c r="BI27" s="194">
        <f t="shared" si="7"/>
        <v>0</v>
      </c>
      <c r="BJ27" s="158" t="s">
        <v>38</v>
      </c>
      <c r="BK27" s="194">
        <f t="shared" si="8"/>
        <v>167.54</v>
      </c>
      <c r="BL27" s="158" t="s">
        <v>50</v>
      </c>
      <c r="BM27" s="193" t="s">
        <v>42</v>
      </c>
    </row>
    <row r="28" spans="2:65" s="129" customFormat="1" ht="24">
      <c r="B28" s="182"/>
      <c r="C28" s="183"/>
      <c r="D28" s="183"/>
      <c r="E28" s="184" t="s">
        <v>153</v>
      </c>
      <c r="F28" s="185" t="s">
        <v>154</v>
      </c>
      <c r="G28" s="186" t="s">
        <v>150</v>
      </c>
      <c r="H28" s="187">
        <f>H85*1*0.35</f>
        <v>1032.675</v>
      </c>
      <c r="I28" s="187">
        <v>10.898999999999999</v>
      </c>
      <c r="J28" s="187">
        <f>I28*H28</f>
        <v>11255.124824999999</v>
      </c>
      <c r="K28" s="188"/>
      <c r="L28" s="133"/>
      <c r="M28" s="189"/>
      <c r="N28" s="190"/>
      <c r="O28" s="191"/>
      <c r="P28" s="191"/>
      <c r="Q28" s="191"/>
      <c r="R28" s="191"/>
      <c r="S28" s="191"/>
      <c r="T28" s="192"/>
      <c r="AR28" s="193"/>
      <c r="AT28" s="193"/>
      <c r="AU28" s="193"/>
      <c r="AY28" s="158"/>
      <c r="BE28" s="194"/>
      <c r="BF28" s="194"/>
      <c r="BG28" s="194"/>
      <c r="BH28" s="194"/>
      <c r="BI28" s="194"/>
      <c r="BJ28" s="158"/>
      <c r="BK28" s="194"/>
      <c r="BL28" s="158"/>
      <c r="BM28" s="193"/>
    </row>
    <row r="29" spans="2:65" s="129" customFormat="1" ht="36">
      <c r="B29" s="182"/>
      <c r="C29" s="183"/>
      <c r="D29" s="183"/>
      <c r="E29" s="184" t="s">
        <v>155</v>
      </c>
      <c r="F29" s="185" t="s">
        <v>156</v>
      </c>
      <c r="G29" s="186" t="s">
        <v>150</v>
      </c>
      <c r="H29" s="187">
        <f>H28</f>
        <v>1032.675</v>
      </c>
      <c r="I29" s="187">
        <v>1.075</v>
      </c>
      <c r="J29" s="187">
        <f>I29*H29</f>
        <v>1110.1256249999999</v>
      </c>
      <c r="K29" s="188"/>
      <c r="L29" s="133"/>
      <c r="M29" s="189"/>
      <c r="N29" s="190"/>
      <c r="O29" s="191"/>
      <c r="P29" s="191"/>
      <c r="Q29" s="191"/>
      <c r="R29" s="191"/>
      <c r="S29" s="191"/>
      <c r="T29" s="192"/>
      <c r="AR29" s="193"/>
      <c r="AT29" s="193"/>
      <c r="AU29" s="193"/>
      <c r="AY29" s="158"/>
      <c r="BE29" s="194"/>
      <c r="BF29" s="194"/>
      <c r="BG29" s="194"/>
      <c r="BH29" s="194"/>
      <c r="BI29" s="194"/>
      <c r="BJ29" s="158"/>
      <c r="BK29" s="194"/>
      <c r="BL29" s="158"/>
      <c r="BM29" s="193"/>
    </row>
    <row r="30" spans="2:65" s="129" customFormat="1" ht="24">
      <c r="B30" s="182"/>
      <c r="C30" s="183" t="s">
        <v>46</v>
      </c>
      <c r="D30" s="183" t="s">
        <v>124</v>
      </c>
      <c r="E30" s="184" t="s">
        <v>157</v>
      </c>
      <c r="F30" s="185" t="s">
        <v>158</v>
      </c>
      <c r="G30" s="186" t="s">
        <v>150</v>
      </c>
      <c r="H30" s="187">
        <f>1.34*H81+2*H71+3*H77+H55*0.4</f>
        <v>557.54300000000001</v>
      </c>
      <c r="I30" s="187">
        <v>2.83</v>
      </c>
      <c r="J30" s="187">
        <f>ROUND(I30*H30,3)</f>
        <v>1577.847</v>
      </c>
      <c r="K30" s="188"/>
      <c r="L30" s="133"/>
      <c r="M30" s="189"/>
      <c r="N30" s="190" t="s">
        <v>132</v>
      </c>
      <c r="O30" s="191">
        <v>0</v>
      </c>
      <c r="P30" s="191">
        <f t="shared" ref="P30:P38" si="10">O30*H30</f>
        <v>0</v>
      </c>
      <c r="Q30" s="191">
        <v>0</v>
      </c>
      <c r="R30" s="191">
        <f t="shared" ref="R30:R38" si="11">Q30*H30</f>
        <v>0</v>
      </c>
      <c r="S30" s="191">
        <v>0</v>
      </c>
      <c r="T30" s="192">
        <f t="shared" ref="T30:T38" si="12">S30*H30</f>
        <v>0</v>
      </c>
      <c r="AR30" s="193" t="s">
        <v>50</v>
      </c>
      <c r="AT30" s="193" t="s">
        <v>124</v>
      </c>
      <c r="AU30" s="193" t="s">
        <v>38</v>
      </c>
      <c r="AY30" s="158" t="s">
        <v>122</v>
      </c>
      <c r="BE30" s="194">
        <f t="shared" ref="BE30:BE38" si="13">IF(N30="základná",J30,0)</f>
        <v>0</v>
      </c>
      <c r="BF30" s="194">
        <f t="shared" ref="BF30:BF38" si="14">IF(N30="znížená",J30,0)</f>
        <v>1577.847</v>
      </c>
      <c r="BG30" s="194">
        <f t="shared" ref="BG30:BG38" si="15">IF(N30="zákl. prenesená",J30,0)</f>
        <v>0</v>
      </c>
      <c r="BH30" s="194">
        <f t="shared" ref="BH30:BH38" si="16">IF(N30="zníž. prenesená",J30,0)</f>
        <v>0</v>
      </c>
      <c r="BI30" s="194">
        <f t="shared" ref="BI30:BI38" si="17">IF(N30="nulová",J30,0)</f>
        <v>0</v>
      </c>
      <c r="BJ30" s="158" t="s">
        <v>38</v>
      </c>
      <c r="BK30" s="194">
        <f t="shared" ref="BK30:BK38" si="18">ROUND(I30*H30,2)</f>
        <v>1577.85</v>
      </c>
      <c r="BL30" s="158" t="s">
        <v>50</v>
      </c>
      <c r="BM30" s="193" t="s">
        <v>52</v>
      </c>
    </row>
    <row r="31" spans="2:65" s="129" customFormat="1" ht="24">
      <c r="B31" s="182"/>
      <c r="C31" s="183" t="s">
        <v>51</v>
      </c>
      <c r="D31" s="183" t="s">
        <v>124</v>
      </c>
      <c r="E31" s="184" t="s">
        <v>159</v>
      </c>
      <c r="F31" s="185" t="s">
        <v>160</v>
      </c>
      <c r="G31" s="186" t="s">
        <v>150</v>
      </c>
      <c r="H31" s="187">
        <f>H30</f>
        <v>557.54300000000001</v>
      </c>
      <c r="I31" s="187">
        <v>1.24</v>
      </c>
      <c r="J31" s="187">
        <f>ROUND(I31*H31,3)</f>
        <v>691.35299999999995</v>
      </c>
      <c r="K31" s="188"/>
      <c r="L31" s="133"/>
      <c r="M31" s="189"/>
      <c r="N31" s="190" t="s">
        <v>132</v>
      </c>
      <c r="O31" s="191">
        <v>0</v>
      </c>
      <c r="P31" s="191">
        <f t="shared" si="10"/>
        <v>0</v>
      </c>
      <c r="Q31" s="191">
        <v>0</v>
      </c>
      <c r="R31" s="191">
        <f t="shared" si="11"/>
        <v>0</v>
      </c>
      <c r="S31" s="191">
        <v>0</v>
      </c>
      <c r="T31" s="192">
        <f t="shared" si="12"/>
        <v>0</v>
      </c>
      <c r="AR31" s="193" t="s">
        <v>50</v>
      </c>
      <c r="AT31" s="193" t="s">
        <v>124</v>
      </c>
      <c r="AU31" s="193" t="s">
        <v>38</v>
      </c>
      <c r="AY31" s="158" t="s">
        <v>122</v>
      </c>
      <c r="BE31" s="194">
        <f t="shared" si="13"/>
        <v>0</v>
      </c>
      <c r="BF31" s="194">
        <f t="shared" si="14"/>
        <v>691.35299999999995</v>
      </c>
      <c r="BG31" s="194">
        <f t="shared" si="15"/>
        <v>0</v>
      </c>
      <c r="BH31" s="194">
        <f t="shared" si="16"/>
        <v>0</v>
      </c>
      <c r="BI31" s="194">
        <f t="shared" si="17"/>
        <v>0</v>
      </c>
      <c r="BJ31" s="158" t="s">
        <v>38</v>
      </c>
      <c r="BK31" s="194">
        <f t="shared" si="18"/>
        <v>691.35</v>
      </c>
      <c r="BL31" s="158" t="s">
        <v>50</v>
      </c>
      <c r="BM31" s="193" t="s">
        <v>59</v>
      </c>
    </row>
    <row r="32" spans="2:65" s="129" customFormat="1" ht="36">
      <c r="B32" s="182"/>
      <c r="C32" s="183" t="s">
        <v>42</v>
      </c>
      <c r="D32" s="183" t="s">
        <v>124</v>
      </c>
      <c r="E32" s="184" t="s">
        <v>161</v>
      </c>
      <c r="F32" s="185" t="s">
        <v>162</v>
      </c>
      <c r="G32" s="186" t="s">
        <v>150</v>
      </c>
      <c r="H32" s="187">
        <f>H31+H90*0.1946+H91*0.11775+H28</f>
        <v>2012.291725</v>
      </c>
      <c r="I32" s="187">
        <v>4</v>
      </c>
      <c r="J32" s="187">
        <f>ROUND(I32*H32,3)</f>
        <v>8049.1670000000004</v>
      </c>
      <c r="K32" s="188"/>
      <c r="L32" s="133"/>
      <c r="M32" s="189"/>
      <c r="N32" s="190" t="s">
        <v>132</v>
      </c>
      <c r="O32" s="191">
        <v>0</v>
      </c>
      <c r="P32" s="191">
        <f t="shared" si="10"/>
        <v>0</v>
      </c>
      <c r="Q32" s="191">
        <v>0</v>
      </c>
      <c r="R32" s="191">
        <f t="shared" si="11"/>
        <v>0</v>
      </c>
      <c r="S32" s="191">
        <v>0</v>
      </c>
      <c r="T32" s="192">
        <f t="shared" si="12"/>
        <v>0</v>
      </c>
      <c r="AR32" s="193" t="s">
        <v>50</v>
      </c>
      <c r="AT32" s="193" t="s">
        <v>124</v>
      </c>
      <c r="AU32" s="193" t="s">
        <v>38</v>
      </c>
      <c r="AY32" s="158" t="s">
        <v>122</v>
      </c>
      <c r="BE32" s="194">
        <f t="shared" si="13"/>
        <v>0</v>
      </c>
      <c r="BF32" s="194">
        <f t="shared" si="14"/>
        <v>8049.1670000000004</v>
      </c>
      <c r="BG32" s="194">
        <f t="shared" si="15"/>
        <v>0</v>
      </c>
      <c r="BH32" s="194">
        <f t="shared" si="16"/>
        <v>0</v>
      </c>
      <c r="BI32" s="194">
        <f t="shared" si="17"/>
        <v>0</v>
      </c>
      <c r="BJ32" s="158" t="s">
        <v>38</v>
      </c>
      <c r="BK32" s="194">
        <f t="shared" si="18"/>
        <v>8049.17</v>
      </c>
      <c r="BL32" s="158" t="s">
        <v>50</v>
      </c>
      <c r="BM32" s="193" t="s">
        <v>79</v>
      </c>
    </row>
    <row r="33" spans="2:65" s="129" customFormat="1" ht="36">
      <c r="B33" s="182"/>
      <c r="C33" s="183" t="s">
        <v>48</v>
      </c>
      <c r="D33" s="183" t="s">
        <v>124</v>
      </c>
      <c r="E33" s="184" t="s">
        <v>163</v>
      </c>
      <c r="F33" s="185" t="s">
        <v>164</v>
      </c>
      <c r="G33" s="186" t="s">
        <v>150</v>
      </c>
      <c r="H33" s="187">
        <f>H32*30</f>
        <v>60368.751750000003</v>
      </c>
      <c r="I33" s="187">
        <v>0.38</v>
      </c>
      <c r="J33" s="187">
        <f>ROUND(I33*H33,3)</f>
        <v>22940.126</v>
      </c>
      <c r="K33" s="188"/>
      <c r="L33" s="133"/>
      <c r="M33" s="189"/>
      <c r="N33" s="190" t="s">
        <v>132</v>
      </c>
      <c r="O33" s="191">
        <v>0</v>
      </c>
      <c r="P33" s="191">
        <f t="shared" si="10"/>
        <v>0</v>
      </c>
      <c r="Q33" s="191">
        <v>0</v>
      </c>
      <c r="R33" s="191">
        <f t="shared" si="11"/>
        <v>0</v>
      </c>
      <c r="S33" s="191">
        <v>0</v>
      </c>
      <c r="T33" s="192">
        <f t="shared" si="12"/>
        <v>0</v>
      </c>
      <c r="AR33" s="193" t="s">
        <v>50</v>
      </c>
      <c r="AT33" s="193" t="s">
        <v>124</v>
      </c>
      <c r="AU33" s="193" t="s">
        <v>38</v>
      </c>
      <c r="AY33" s="158" t="s">
        <v>122</v>
      </c>
      <c r="BE33" s="194">
        <f t="shared" si="13"/>
        <v>0</v>
      </c>
      <c r="BF33" s="194">
        <f t="shared" si="14"/>
        <v>22940.126</v>
      </c>
      <c r="BG33" s="194">
        <f t="shared" si="15"/>
        <v>0</v>
      </c>
      <c r="BH33" s="194">
        <f t="shared" si="16"/>
        <v>0</v>
      </c>
      <c r="BI33" s="194">
        <f t="shared" si="17"/>
        <v>0</v>
      </c>
      <c r="BJ33" s="158" t="s">
        <v>38</v>
      </c>
      <c r="BK33" s="194">
        <f t="shared" si="18"/>
        <v>22940.13</v>
      </c>
      <c r="BL33" s="158" t="s">
        <v>50</v>
      </c>
      <c r="BM33" s="193" t="s">
        <v>86</v>
      </c>
    </row>
    <row r="34" spans="2:65" s="129" customFormat="1" ht="24">
      <c r="B34" s="182"/>
      <c r="C34" s="183" t="s">
        <v>52</v>
      </c>
      <c r="D34" s="183" t="s">
        <v>124</v>
      </c>
      <c r="E34" s="184" t="s">
        <v>165</v>
      </c>
      <c r="F34" s="185" t="s">
        <v>166</v>
      </c>
      <c r="G34" s="186" t="s">
        <v>167</v>
      </c>
      <c r="H34" s="187">
        <f>H32</f>
        <v>2012.291725</v>
      </c>
      <c r="I34" s="187">
        <v>19.5</v>
      </c>
      <c r="J34" s="187">
        <f>ROUND(I34*H34,3)</f>
        <v>39239.688999999998</v>
      </c>
      <c r="K34" s="188"/>
      <c r="L34" s="133"/>
      <c r="M34" s="189"/>
      <c r="N34" s="190" t="s">
        <v>132</v>
      </c>
      <c r="O34" s="191">
        <v>0</v>
      </c>
      <c r="P34" s="191">
        <f t="shared" si="10"/>
        <v>0</v>
      </c>
      <c r="Q34" s="191">
        <v>0</v>
      </c>
      <c r="R34" s="191">
        <f t="shared" si="11"/>
        <v>0</v>
      </c>
      <c r="S34" s="191">
        <v>0</v>
      </c>
      <c r="T34" s="192">
        <f t="shared" si="12"/>
        <v>0</v>
      </c>
      <c r="AR34" s="193" t="s">
        <v>50</v>
      </c>
      <c r="AT34" s="193" t="s">
        <v>124</v>
      </c>
      <c r="AU34" s="193" t="s">
        <v>38</v>
      </c>
      <c r="AY34" s="158" t="s">
        <v>122</v>
      </c>
      <c r="BE34" s="194">
        <f t="shared" si="13"/>
        <v>0</v>
      </c>
      <c r="BF34" s="194">
        <f t="shared" si="14"/>
        <v>39239.688999999998</v>
      </c>
      <c r="BG34" s="194">
        <f t="shared" si="15"/>
        <v>0</v>
      </c>
      <c r="BH34" s="194">
        <f t="shared" si="16"/>
        <v>0</v>
      </c>
      <c r="BI34" s="194">
        <f t="shared" si="17"/>
        <v>0</v>
      </c>
      <c r="BJ34" s="158" t="s">
        <v>38</v>
      </c>
      <c r="BK34" s="194">
        <f t="shared" si="18"/>
        <v>39239.69</v>
      </c>
      <c r="BL34" s="158" t="s">
        <v>50</v>
      </c>
      <c r="BM34" s="193" t="s">
        <v>168</v>
      </c>
    </row>
    <row r="35" spans="2:65" s="129" customFormat="1" ht="24">
      <c r="B35" s="182"/>
      <c r="C35" s="183" t="s">
        <v>56</v>
      </c>
      <c r="D35" s="183" t="s">
        <v>124</v>
      </c>
      <c r="E35" s="184" t="s">
        <v>169</v>
      </c>
      <c r="F35" s="185" t="s">
        <v>170</v>
      </c>
      <c r="G35" s="186" t="s">
        <v>150</v>
      </c>
      <c r="H35" s="187">
        <f>H65*5</f>
        <v>55</v>
      </c>
      <c r="I35" s="187">
        <v>4.45</v>
      </c>
      <c r="J35" s="187">
        <f t="shared" ref="J35:J37" si="19">ROUND(I35*H35,2)</f>
        <v>244.75</v>
      </c>
      <c r="K35" s="188"/>
      <c r="L35" s="133"/>
      <c r="M35" s="189"/>
      <c r="N35" s="190" t="s">
        <v>132</v>
      </c>
      <c r="O35" s="191">
        <v>0</v>
      </c>
      <c r="P35" s="191">
        <f t="shared" si="10"/>
        <v>0</v>
      </c>
      <c r="Q35" s="191">
        <v>0</v>
      </c>
      <c r="R35" s="191">
        <f t="shared" si="11"/>
        <v>0</v>
      </c>
      <c r="S35" s="191">
        <v>0</v>
      </c>
      <c r="T35" s="192">
        <f t="shared" si="12"/>
        <v>0</v>
      </c>
      <c r="AR35" s="193" t="s">
        <v>50</v>
      </c>
      <c r="AT35" s="193" t="s">
        <v>124</v>
      </c>
      <c r="AU35" s="193" t="s">
        <v>38</v>
      </c>
      <c r="AY35" s="158" t="s">
        <v>122</v>
      </c>
      <c r="BE35" s="194">
        <f t="shared" si="13"/>
        <v>0</v>
      </c>
      <c r="BF35" s="194">
        <f t="shared" si="14"/>
        <v>244.75</v>
      </c>
      <c r="BG35" s="194">
        <f t="shared" si="15"/>
        <v>0</v>
      </c>
      <c r="BH35" s="194">
        <f t="shared" si="16"/>
        <v>0</v>
      </c>
      <c r="BI35" s="194">
        <f t="shared" si="17"/>
        <v>0</v>
      </c>
      <c r="BJ35" s="158" t="s">
        <v>38</v>
      </c>
      <c r="BK35" s="194">
        <f t="shared" si="18"/>
        <v>244.75</v>
      </c>
      <c r="BL35" s="158" t="s">
        <v>50</v>
      </c>
      <c r="BM35" s="193" t="s">
        <v>171</v>
      </c>
    </row>
    <row r="36" spans="2:65" s="129" customFormat="1" ht="24">
      <c r="B36" s="182"/>
      <c r="C36" s="183" t="s">
        <v>59</v>
      </c>
      <c r="D36" s="183" t="s">
        <v>124</v>
      </c>
      <c r="E36" s="184" t="s">
        <v>172</v>
      </c>
      <c r="F36" s="185" t="s">
        <v>173</v>
      </c>
      <c r="G36" s="186" t="s">
        <v>150</v>
      </c>
      <c r="H36" s="187">
        <f>H81*0.65</f>
        <v>59.442500000000003</v>
      </c>
      <c r="I36" s="187">
        <v>20.399999999999999</v>
      </c>
      <c r="J36" s="187">
        <f>ROUND(I36*H36,3)</f>
        <v>1212.627</v>
      </c>
      <c r="K36" s="188"/>
      <c r="L36" s="133"/>
      <c r="M36" s="189"/>
      <c r="N36" s="190" t="s">
        <v>132</v>
      </c>
      <c r="O36" s="191">
        <v>0</v>
      </c>
      <c r="P36" s="191">
        <f t="shared" si="10"/>
        <v>0</v>
      </c>
      <c r="Q36" s="191">
        <v>0</v>
      </c>
      <c r="R36" s="191">
        <f t="shared" si="11"/>
        <v>0</v>
      </c>
      <c r="S36" s="191">
        <v>0</v>
      </c>
      <c r="T36" s="192">
        <f t="shared" si="12"/>
        <v>0</v>
      </c>
      <c r="AR36" s="193" t="s">
        <v>50</v>
      </c>
      <c r="AT36" s="193" t="s">
        <v>124</v>
      </c>
      <c r="AU36" s="193" t="s">
        <v>38</v>
      </c>
      <c r="AY36" s="158" t="s">
        <v>122</v>
      </c>
      <c r="BE36" s="194">
        <f t="shared" si="13"/>
        <v>0</v>
      </c>
      <c r="BF36" s="194">
        <f t="shared" si="14"/>
        <v>1212.627</v>
      </c>
      <c r="BG36" s="194">
        <f t="shared" si="15"/>
        <v>0</v>
      </c>
      <c r="BH36" s="194">
        <f t="shared" si="16"/>
        <v>0</v>
      </c>
      <c r="BI36" s="194">
        <f t="shared" si="17"/>
        <v>0</v>
      </c>
      <c r="BJ36" s="158" t="s">
        <v>38</v>
      </c>
      <c r="BK36" s="194">
        <f t="shared" si="18"/>
        <v>1212.6300000000001</v>
      </c>
      <c r="BL36" s="158" t="s">
        <v>50</v>
      </c>
      <c r="BM36" s="193" t="s">
        <v>174</v>
      </c>
    </row>
    <row r="37" spans="2:65" s="129" customFormat="1" ht="24">
      <c r="B37" s="182"/>
      <c r="C37" s="195" t="s">
        <v>65</v>
      </c>
      <c r="D37" s="195" t="s">
        <v>175</v>
      </c>
      <c r="E37" s="196" t="s">
        <v>176</v>
      </c>
      <c r="F37" s="197" t="s">
        <v>177</v>
      </c>
      <c r="G37" s="198" t="s">
        <v>167</v>
      </c>
      <c r="H37" s="199">
        <f>H36*2</f>
        <v>118.88500000000001</v>
      </c>
      <c r="I37" s="199">
        <v>15.65</v>
      </c>
      <c r="J37" s="199">
        <f t="shared" si="19"/>
        <v>1860.55</v>
      </c>
      <c r="K37" s="200"/>
      <c r="L37" s="201"/>
      <c r="M37" s="202"/>
      <c r="N37" s="203" t="s">
        <v>132</v>
      </c>
      <c r="O37" s="191">
        <v>0</v>
      </c>
      <c r="P37" s="191">
        <f t="shared" si="10"/>
        <v>0</v>
      </c>
      <c r="Q37" s="191">
        <v>0</v>
      </c>
      <c r="R37" s="191">
        <f t="shared" si="11"/>
        <v>0</v>
      </c>
      <c r="S37" s="191">
        <v>0</v>
      </c>
      <c r="T37" s="192">
        <f t="shared" si="12"/>
        <v>0</v>
      </c>
      <c r="AR37" s="193" t="s">
        <v>34</v>
      </c>
      <c r="AT37" s="193" t="s">
        <v>175</v>
      </c>
      <c r="AU37" s="193" t="s">
        <v>38</v>
      </c>
      <c r="AY37" s="158" t="s">
        <v>122</v>
      </c>
      <c r="BE37" s="194">
        <f t="shared" si="13"/>
        <v>0</v>
      </c>
      <c r="BF37" s="194">
        <f t="shared" si="14"/>
        <v>1860.55</v>
      </c>
      <c r="BG37" s="194">
        <f t="shared" si="15"/>
        <v>0</v>
      </c>
      <c r="BH37" s="194">
        <f t="shared" si="16"/>
        <v>0</v>
      </c>
      <c r="BI37" s="194">
        <f t="shared" si="17"/>
        <v>0</v>
      </c>
      <c r="BJ37" s="158" t="s">
        <v>38</v>
      </c>
      <c r="BK37" s="194">
        <f t="shared" si="18"/>
        <v>1860.55</v>
      </c>
      <c r="BL37" s="158" t="s">
        <v>50</v>
      </c>
      <c r="BM37" s="193" t="s">
        <v>178</v>
      </c>
    </row>
    <row r="38" spans="2:65" s="129" customFormat="1" ht="12">
      <c r="B38" s="182"/>
      <c r="C38" s="183" t="s">
        <v>67</v>
      </c>
      <c r="D38" s="183" t="s">
        <v>124</v>
      </c>
      <c r="E38" s="184" t="s">
        <v>179</v>
      </c>
      <c r="F38" s="185" t="s">
        <v>180</v>
      </c>
      <c r="G38" s="186" t="s">
        <v>127</v>
      </c>
      <c r="H38" s="187">
        <f>H55+H58+H71+H77*2.25+H81</f>
        <v>2058.1999999999998</v>
      </c>
      <c r="I38" s="187">
        <v>0.52</v>
      </c>
      <c r="J38" s="187">
        <f>ROUND(I38*H38,3)</f>
        <v>1070.2639999999999</v>
      </c>
      <c r="K38" s="188"/>
      <c r="L38" s="133"/>
      <c r="M38" s="189"/>
      <c r="N38" s="190" t="s">
        <v>132</v>
      </c>
      <c r="O38" s="191">
        <v>0</v>
      </c>
      <c r="P38" s="191">
        <f t="shared" si="10"/>
        <v>0</v>
      </c>
      <c r="Q38" s="191">
        <v>0</v>
      </c>
      <c r="R38" s="191">
        <f t="shared" si="11"/>
        <v>0</v>
      </c>
      <c r="S38" s="191">
        <v>0</v>
      </c>
      <c r="T38" s="192">
        <f t="shared" si="12"/>
        <v>0</v>
      </c>
      <c r="AR38" s="193" t="s">
        <v>50</v>
      </c>
      <c r="AT38" s="193" t="s">
        <v>124</v>
      </c>
      <c r="AU38" s="193" t="s">
        <v>38</v>
      </c>
      <c r="AY38" s="158" t="s">
        <v>122</v>
      </c>
      <c r="BE38" s="194">
        <f t="shared" si="13"/>
        <v>0</v>
      </c>
      <c r="BF38" s="194">
        <f t="shared" si="14"/>
        <v>1070.2639999999999</v>
      </c>
      <c r="BG38" s="194">
        <f t="shared" si="15"/>
        <v>0</v>
      </c>
      <c r="BH38" s="194">
        <f t="shared" si="16"/>
        <v>0</v>
      </c>
      <c r="BI38" s="194">
        <f t="shared" si="17"/>
        <v>0</v>
      </c>
      <c r="BJ38" s="158" t="s">
        <v>38</v>
      </c>
      <c r="BK38" s="194">
        <f t="shared" si="18"/>
        <v>1070.26</v>
      </c>
      <c r="BL38" s="158" t="s">
        <v>50</v>
      </c>
      <c r="BM38" s="193" t="s">
        <v>181</v>
      </c>
    </row>
    <row r="39" spans="2:65" s="171" customFormat="1" ht="12.75">
      <c r="B39" s="172"/>
      <c r="D39" s="173" t="s">
        <v>73</v>
      </c>
      <c r="E39" s="174" t="s">
        <v>38</v>
      </c>
      <c r="F39" s="174" t="s">
        <v>182</v>
      </c>
      <c r="H39" s="175"/>
      <c r="I39" s="175"/>
      <c r="J39" s="176">
        <f>SUM(J40:J41)</f>
        <v>4047.3380000000002</v>
      </c>
      <c r="L39" s="172"/>
      <c r="M39" s="177"/>
      <c r="P39" s="178">
        <f>SUM(P40:P41)</f>
        <v>0</v>
      </c>
      <c r="R39" s="178">
        <f>SUM(R40:R41)</f>
        <v>0</v>
      </c>
      <c r="T39" s="179">
        <f>SUM(T40:T41)</f>
        <v>0</v>
      </c>
      <c r="V39" s="175"/>
      <c r="AR39" s="173" t="s">
        <v>31</v>
      </c>
      <c r="AT39" s="180" t="s">
        <v>73</v>
      </c>
      <c r="AU39" s="180" t="s">
        <v>31</v>
      </c>
      <c r="AY39" s="173" t="s">
        <v>122</v>
      </c>
      <c r="BK39" s="181">
        <f>SUM(BK40:BK41)</f>
        <v>4047.34</v>
      </c>
    </row>
    <row r="40" spans="2:65" s="129" customFormat="1" ht="24">
      <c r="B40" s="182"/>
      <c r="C40" s="183" t="s">
        <v>69</v>
      </c>
      <c r="D40" s="183" t="s">
        <v>124</v>
      </c>
      <c r="E40" s="184" t="s">
        <v>183</v>
      </c>
      <c r="F40" s="185" t="s">
        <v>184</v>
      </c>
      <c r="G40" s="186" t="s">
        <v>127</v>
      </c>
      <c r="H40" s="187">
        <v>925</v>
      </c>
      <c r="I40" s="187">
        <v>1.95</v>
      </c>
      <c r="J40" s="187">
        <f>ROUND(I40*H40,2)</f>
        <v>1803.75</v>
      </c>
      <c r="K40" s="188"/>
      <c r="L40" s="133"/>
      <c r="M40" s="189"/>
      <c r="N40" s="190" t="s">
        <v>132</v>
      </c>
      <c r="O40" s="191">
        <v>0</v>
      </c>
      <c r="P40" s="191">
        <f>O40*H40</f>
        <v>0</v>
      </c>
      <c r="Q40" s="191">
        <v>0</v>
      </c>
      <c r="R40" s="191">
        <f>Q40*H40</f>
        <v>0</v>
      </c>
      <c r="S40" s="191">
        <v>0</v>
      </c>
      <c r="T40" s="192">
        <f>S40*H40</f>
        <v>0</v>
      </c>
      <c r="AR40" s="193" t="s">
        <v>50</v>
      </c>
      <c r="AT40" s="193" t="s">
        <v>124</v>
      </c>
      <c r="AU40" s="193" t="s">
        <v>38</v>
      </c>
      <c r="AY40" s="158" t="s">
        <v>122</v>
      </c>
      <c r="BE40" s="194">
        <f>IF(N40="základná",J40,0)</f>
        <v>0</v>
      </c>
      <c r="BF40" s="194">
        <f>IF(N40="znížená",J40,0)</f>
        <v>1803.75</v>
      </c>
      <c r="BG40" s="194">
        <f>IF(N40="zákl. prenesená",J40,0)</f>
        <v>0</v>
      </c>
      <c r="BH40" s="194">
        <f>IF(N40="zníž. prenesená",J40,0)</f>
        <v>0</v>
      </c>
      <c r="BI40" s="194">
        <f>IF(N40="nulová",J40,0)</f>
        <v>0</v>
      </c>
      <c r="BJ40" s="158" t="s">
        <v>38</v>
      </c>
      <c r="BK40" s="194">
        <f>ROUND(I40*H40,2)</f>
        <v>1803.75</v>
      </c>
      <c r="BL40" s="158" t="s">
        <v>50</v>
      </c>
      <c r="BM40" s="193" t="s">
        <v>185</v>
      </c>
    </row>
    <row r="41" spans="2:65" s="129" customFormat="1" ht="24">
      <c r="B41" s="182"/>
      <c r="C41" s="195" t="s">
        <v>71</v>
      </c>
      <c r="D41" s="195" t="s">
        <v>175</v>
      </c>
      <c r="E41" s="196" t="s">
        <v>186</v>
      </c>
      <c r="F41" s="197" t="s">
        <v>187</v>
      </c>
      <c r="G41" s="198" t="s">
        <v>127</v>
      </c>
      <c r="H41" s="199">
        <f>925*1.05</f>
        <v>971.25</v>
      </c>
      <c r="I41" s="199">
        <v>2.31</v>
      </c>
      <c r="J41" s="199">
        <f>ROUND(I41*H41,3)</f>
        <v>2243.5880000000002</v>
      </c>
      <c r="K41" s="200"/>
      <c r="L41" s="201"/>
      <c r="M41" s="202"/>
      <c r="N41" s="203" t="s">
        <v>132</v>
      </c>
      <c r="O41" s="191">
        <v>0</v>
      </c>
      <c r="P41" s="191">
        <f>O41*H41</f>
        <v>0</v>
      </c>
      <c r="Q41" s="191">
        <v>0</v>
      </c>
      <c r="R41" s="191">
        <f>Q41*H41</f>
        <v>0</v>
      </c>
      <c r="S41" s="191">
        <v>0</v>
      </c>
      <c r="T41" s="192">
        <f>S41*H41</f>
        <v>0</v>
      </c>
      <c r="AR41" s="193" t="s">
        <v>34</v>
      </c>
      <c r="AT41" s="193" t="s">
        <v>175</v>
      </c>
      <c r="AU41" s="193" t="s">
        <v>38</v>
      </c>
      <c r="AY41" s="158" t="s">
        <v>122</v>
      </c>
      <c r="BE41" s="194">
        <f>IF(N41="základná",J41,0)</f>
        <v>0</v>
      </c>
      <c r="BF41" s="194">
        <f>IF(N41="znížená",J41,0)</f>
        <v>2243.5880000000002</v>
      </c>
      <c r="BG41" s="194">
        <f>IF(N41="zákl. prenesená",J41,0)</f>
        <v>0</v>
      </c>
      <c r="BH41" s="194">
        <f>IF(N41="zníž. prenesená",J41,0)</f>
        <v>0</v>
      </c>
      <c r="BI41" s="194">
        <f>IF(N41="nulová",J41,0)</f>
        <v>0</v>
      </c>
      <c r="BJ41" s="158" t="s">
        <v>38</v>
      </c>
      <c r="BK41" s="194">
        <f>ROUND(I41*H41,2)</f>
        <v>2243.59</v>
      </c>
      <c r="BL41" s="158" t="s">
        <v>50</v>
      </c>
      <c r="BM41" s="193" t="s">
        <v>188</v>
      </c>
    </row>
    <row r="42" spans="2:65" s="171" customFormat="1" ht="12.75">
      <c r="B42" s="172"/>
      <c r="D42" s="173" t="s">
        <v>73</v>
      </c>
      <c r="E42" s="174" t="s">
        <v>44</v>
      </c>
      <c r="F42" s="174" t="s">
        <v>189</v>
      </c>
      <c r="H42" s="175"/>
      <c r="I42" s="175"/>
      <c r="J42" s="176">
        <f>SUM(J43:J48)</f>
        <v>20920.59</v>
      </c>
      <c r="L42" s="172"/>
      <c r="M42" s="177"/>
      <c r="P42" s="178">
        <f>SUM(P43:P48)</f>
        <v>0</v>
      </c>
      <c r="R42" s="178">
        <f>SUM(R43:R48)</f>
        <v>0</v>
      </c>
      <c r="T42" s="179">
        <f>SUM(T43:T48)</f>
        <v>0</v>
      </c>
      <c r="V42" s="215"/>
      <c r="AR42" s="173" t="s">
        <v>31</v>
      </c>
      <c r="AT42" s="180" t="s">
        <v>73</v>
      </c>
      <c r="AU42" s="180" t="s">
        <v>31</v>
      </c>
      <c r="AY42" s="173" t="s">
        <v>122</v>
      </c>
      <c r="BK42" s="181">
        <f>SUM(BK43:BK48)</f>
        <v>20920.59</v>
      </c>
    </row>
    <row r="43" spans="2:65" s="129" customFormat="1" ht="12">
      <c r="B43" s="182"/>
      <c r="C43" s="183" t="s">
        <v>75</v>
      </c>
      <c r="D43" s="183" t="s">
        <v>124</v>
      </c>
      <c r="E43" s="184" t="s">
        <v>190</v>
      </c>
      <c r="F43" s="185" t="s">
        <v>191</v>
      </c>
      <c r="G43" s="186" t="s">
        <v>150</v>
      </c>
      <c r="H43" s="187">
        <f>0.2*4.5*2+0.2*(4.9+3.7)</f>
        <v>3.5200000000000005</v>
      </c>
      <c r="I43" s="187">
        <v>211.88</v>
      </c>
      <c r="J43" s="187">
        <f>ROUND(I43*H43,3)</f>
        <v>745.81799999999998</v>
      </c>
      <c r="K43" s="188"/>
      <c r="L43" s="133"/>
      <c r="M43" s="189"/>
      <c r="N43" s="190" t="s">
        <v>132</v>
      </c>
      <c r="O43" s="191">
        <v>0</v>
      </c>
      <c r="P43" s="191">
        <f t="shared" ref="P43:P48" si="20">O43*H43</f>
        <v>0</v>
      </c>
      <c r="Q43" s="191">
        <v>0</v>
      </c>
      <c r="R43" s="191">
        <f t="shared" ref="R43:R48" si="21">Q43*H43</f>
        <v>0</v>
      </c>
      <c r="S43" s="191">
        <v>0</v>
      </c>
      <c r="T43" s="192">
        <f t="shared" ref="T43:T48" si="22">S43*H43</f>
        <v>0</v>
      </c>
      <c r="AR43" s="193" t="s">
        <v>50</v>
      </c>
      <c r="AT43" s="193" t="s">
        <v>124</v>
      </c>
      <c r="AU43" s="193" t="s">
        <v>38</v>
      </c>
      <c r="AY43" s="158" t="s">
        <v>122</v>
      </c>
      <c r="BE43" s="194">
        <f t="shared" ref="BE43:BE48" si="23">IF(N43="základná",J43,0)</f>
        <v>0</v>
      </c>
      <c r="BF43" s="194">
        <f t="shared" ref="BF43:BF48" si="24">IF(N43="znížená",J43,0)</f>
        <v>745.81799999999998</v>
      </c>
      <c r="BG43" s="194">
        <f t="shared" ref="BG43:BG48" si="25">IF(N43="zákl. prenesená",J43,0)</f>
        <v>0</v>
      </c>
      <c r="BH43" s="194">
        <f t="shared" ref="BH43:BH48" si="26">IF(N43="zníž. prenesená",J43,0)</f>
        <v>0</v>
      </c>
      <c r="BI43" s="194">
        <f t="shared" ref="BI43:BI48" si="27">IF(N43="nulová",J43,0)</f>
        <v>0</v>
      </c>
      <c r="BJ43" s="158" t="s">
        <v>38</v>
      </c>
      <c r="BK43" s="194">
        <f t="shared" ref="BK43:BK48" si="28">ROUND(I43*H43,2)</f>
        <v>745.82</v>
      </c>
      <c r="BL43" s="158" t="s">
        <v>50</v>
      </c>
      <c r="BM43" s="193" t="s">
        <v>192</v>
      </c>
    </row>
    <row r="44" spans="2:65" s="129" customFormat="1" ht="24">
      <c r="B44" s="182"/>
      <c r="C44" s="183" t="s">
        <v>79</v>
      </c>
      <c r="D44" s="183" t="s">
        <v>124</v>
      </c>
      <c r="E44" s="184" t="s">
        <v>193</v>
      </c>
      <c r="F44" s="185" t="s">
        <v>194</v>
      </c>
      <c r="G44" s="186" t="s">
        <v>127</v>
      </c>
      <c r="H44" s="187">
        <f>(4.9+3.7+4.5+4.5)*1</f>
        <v>17.600000000000001</v>
      </c>
      <c r="I44" s="187">
        <v>71</v>
      </c>
      <c r="J44" s="187">
        <f t="shared" ref="J44:J48" si="29">ROUND(I44*H44,2)</f>
        <v>1249.5999999999999</v>
      </c>
      <c r="K44" s="188"/>
      <c r="L44" s="133"/>
      <c r="M44" s="189"/>
      <c r="N44" s="190" t="s">
        <v>132</v>
      </c>
      <c r="O44" s="191">
        <v>0</v>
      </c>
      <c r="P44" s="191">
        <f t="shared" si="20"/>
        <v>0</v>
      </c>
      <c r="Q44" s="191">
        <v>0</v>
      </c>
      <c r="R44" s="191">
        <f t="shared" si="21"/>
        <v>0</v>
      </c>
      <c r="S44" s="191">
        <v>0</v>
      </c>
      <c r="T44" s="192">
        <f t="shared" si="22"/>
        <v>0</v>
      </c>
      <c r="AR44" s="193" t="s">
        <v>50</v>
      </c>
      <c r="AT44" s="193" t="s">
        <v>124</v>
      </c>
      <c r="AU44" s="193" t="s">
        <v>38</v>
      </c>
      <c r="AY44" s="158" t="s">
        <v>122</v>
      </c>
      <c r="BE44" s="194">
        <f t="shared" si="23"/>
        <v>0</v>
      </c>
      <c r="BF44" s="194">
        <f t="shared" si="24"/>
        <v>1249.5999999999999</v>
      </c>
      <c r="BG44" s="194">
        <f t="shared" si="25"/>
        <v>0</v>
      </c>
      <c r="BH44" s="194">
        <f t="shared" si="26"/>
        <v>0</v>
      </c>
      <c r="BI44" s="194">
        <f t="shared" si="27"/>
        <v>0</v>
      </c>
      <c r="BJ44" s="158" t="s">
        <v>38</v>
      </c>
      <c r="BK44" s="194">
        <f t="shared" si="28"/>
        <v>1249.5999999999999</v>
      </c>
      <c r="BL44" s="158" t="s">
        <v>50</v>
      </c>
      <c r="BM44" s="193" t="s">
        <v>195</v>
      </c>
    </row>
    <row r="45" spans="2:65" s="129" customFormat="1" ht="24">
      <c r="B45" s="182"/>
      <c r="C45" s="183" t="s">
        <v>82</v>
      </c>
      <c r="D45" s="183" t="s">
        <v>124</v>
      </c>
      <c r="E45" s="184" t="s">
        <v>196</v>
      </c>
      <c r="F45" s="185" t="s">
        <v>197</v>
      </c>
      <c r="G45" s="186" t="s">
        <v>127</v>
      </c>
      <c r="H45" s="187">
        <f>H44</f>
        <v>17.600000000000001</v>
      </c>
      <c r="I45" s="187">
        <v>8.8800000000000008</v>
      </c>
      <c r="J45" s="187">
        <f>ROUND(I45*H45,3)</f>
        <v>156.28800000000001</v>
      </c>
      <c r="K45" s="188"/>
      <c r="L45" s="133"/>
      <c r="M45" s="189"/>
      <c r="N45" s="190" t="s">
        <v>132</v>
      </c>
      <c r="O45" s="191">
        <v>0</v>
      </c>
      <c r="P45" s="191">
        <f t="shared" si="20"/>
        <v>0</v>
      </c>
      <c r="Q45" s="191">
        <v>0</v>
      </c>
      <c r="R45" s="191">
        <f t="shared" si="21"/>
        <v>0</v>
      </c>
      <c r="S45" s="191">
        <v>0</v>
      </c>
      <c r="T45" s="192">
        <f t="shared" si="22"/>
        <v>0</v>
      </c>
      <c r="AR45" s="193" t="s">
        <v>50</v>
      </c>
      <c r="AT45" s="193" t="s">
        <v>124</v>
      </c>
      <c r="AU45" s="193" t="s">
        <v>38</v>
      </c>
      <c r="AY45" s="158" t="s">
        <v>122</v>
      </c>
      <c r="BE45" s="194">
        <f t="shared" si="23"/>
        <v>0</v>
      </c>
      <c r="BF45" s="194">
        <f t="shared" si="24"/>
        <v>156.28800000000001</v>
      </c>
      <c r="BG45" s="194">
        <f t="shared" si="25"/>
        <v>0</v>
      </c>
      <c r="BH45" s="194">
        <f t="shared" si="26"/>
        <v>0</v>
      </c>
      <c r="BI45" s="194">
        <f t="shared" si="27"/>
        <v>0</v>
      </c>
      <c r="BJ45" s="158" t="s">
        <v>38</v>
      </c>
      <c r="BK45" s="194">
        <f t="shared" si="28"/>
        <v>156.29</v>
      </c>
      <c r="BL45" s="158" t="s">
        <v>50</v>
      </c>
      <c r="BM45" s="193" t="s">
        <v>198</v>
      </c>
    </row>
    <row r="46" spans="2:65" s="129" customFormat="1" ht="12">
      <c r="B46" s="182"/>
      <c r="C46" s="183" t="s">
        <v>86</v>
      </c>
      <c r="D46" s="183" t="s">
        <v>124</v>
      </c>
      <c r="E46" s="184" t="s">
        <v>199</v>
      </c>
      <c r="F46" s="185" t="s">
        <v>200</v>
      </c>
      <c r="G46" s="186" t="s">
        <v>167</v>
      </c>
      <c r="H46" s="187">
        <f>H43*0.3</f>
        <v>1.056</v>
      </c>
      <c r="I46" s="187">
        <v>2369</v>
      </c>
      <c r="J46" s="187">
        <f>ROUND(I46*H46,3)</f>
        <v>2501.6640000000002</v>
      </c>
      <c r="K46" s="188"/>
      <c r="L46" s="133"/>
      <c r="M46" s="189"/>
      <c r="N46" s="190" t="s">
        <v>132</v>
      </c>
      <c r="O46" s="191">
        <v>0</v>
      </c>
      <c r="P46" s="191">
        <f t="shared" si="20"/>
        <v>0</v>
      </c>
      <c r="Q46" s="191">
        <v>0</v>
      </c>
      <c r="R46" s="191">
        <f t="shared" si="21"/>
        <v>0</v>
      </c>
      <c r="S46" s="191">
        <v>0</v>
      </c>
      <c r="T46" s="192">
        <f t="shared" si="22"/>
        <v>0</v>
      </c>
      <c r="AR46" s="193" t="s">
        <v>50</v>
      </c>
      <c r="AT46" s="193" t="s">
        <v>124</v>
      </c>
      <c r="AU46" s="193" t="s">
        <v>38</v>
      </c>
      <c r="AY46" s="158" t="s">
        <v>122</v>
      </c>
      <c r="BE46" s="194">
        <f t="shared" si="23"/>
        <v>0</v>
      </c>
      <c r="BF46" s="194">
        <f t="shared" si="24"/>
        <v>2501.6640000000002</v>
      </c>
      <c r="BG46" s="194">
        <f t="shared" si="25"/>
        <v>0</v>
      </c>
      <c r="BH46" s="194">
        <f t="shared" si="26"/>
        <v>0</v>
      </c>
      <c r="BI46" s="194">
        <f t="shared" si="27"/>
        <v>0</v>
      </c>
      <c r="BJ46" s="158" t="s">
        <v>38</v>
      </c>
      <c r="BK46" s="194">
        <f t="shared" si="28"/>
        <v>2501.66</v>
      </c>
      <c r="BL46" s="158" t="s">
        <v>50</v>
      </c>
      <c r="BM46" s="193" t="s">
        <v>201</v>
      </c>
    </row>
    <row r="47" spans="2:65" s="129" customFormat="1" ht="36">
      <c r="B47" s="182"/>
      <c r="C47" s="183" t="s">
        <v>88</v>
      </c>
      <c r="D47" s="183" t="s">
        <v>124</v>
      </c>
      <c r="E47" s="184" t="s">
        <v>202</v>
      </c>
      <c r="F47" s="185" t="s">
        <v>203</v>
      </c>
      <c r="G47" s="186" t="s">
        <v>129</v>
      </c>
      <c r="H47" s="187">
        <f>2.2*H71+4.9+3.7+2*4.5</f>
        <v>52.800000000000004</v>
      </c>
      <c r="I47" s="187">
        <v>45.4</v>
      </c>
      <c r="J47" s="187">
        <f t="shared" si="29"/>
        <v>2397.12</v>
      </c>
      <c r="K47" s="188"/>
      <c r="L47" s="133"/>
      <c r="M47" s="189"/>
      <c r="N47" s="190" t="s">
        <v>132</v>
      </c>
      <c r="O47" s="191">
        <v>0</v>
      </c>
      <c r="P47" s="191">
        <f t="shared" si="20"/>
        <v>0</v>
      </c>
      <c r="Q47" s="191">
        <v>0</v>
      </c>
      <c r="R47" s="191">
        <f t="shared" si="21"/>
        <v>0</v>
      </c>
      <c r="S47" s="191">
        <v>0</v>
      </c>
      <c r="T47" s="192">
        <f t="shared" si="22"/>
        <v>0</v>
      </c>
      <c r="AR47" s="193" t="s">
        <v>50</v>
      </c>
      <c r="AT47" s="193" t="s">
        <v>124</v>
      </c>
      <c r="AU47" s="193" t="s">
        <v>38</v>
      </c>
      <c r="AY47" s="158" t="s">
        <v>122</v>
      </c>
      <c r="BE47" s="194">
        <f t="shared" si="23"/>
        <v>0</v>
      </c>
      <c r="BF47" s="194">
        <f t="shared" si="24"/>
        <v>2397.12</v>
      </c>
      <c r="BG47" s="194">
        <f t="shared" si="25"/>
        <v>0</v>
      </c>
      <c r="BH47" s="194">
        <f t="shared" si="26"/>
        <v>0</v>
      </c>
      <c r="BI47" s="194">
        <f t="shared" si="27"/>
        <v>0</v>
      </c>
      <c r="BJ47" s="158" t="s">
        <v>38</v>
      </c>
      <c r="BK47" s="194">
        <f t="shared" si="28"/>
        <v>2397.12</v>
      </c>
      <c r="BL47" s="158" t="s">
        <v>50</v>
      </c>
      <c r="BM47" s="193" t="s">
        <v>204</v>
      </c>
    </row>
    <row r="48" spans="2:65" s="129" customFormat="1" ht="24">
      <c r="B48" s="182"/>
      <c r="C48" s="195" t="s">
        <v>90</v>
      </c>
      <c r="D48" s="195" t="s">
        <v>175</v>
      </c>
      <c r="E48" s="196" t="s">
        <v>205</v>
      </c>
      <c r="F48" s="197" t="s">
        <v>206</v>
      </c>
      <c r="G48" s="198" t="s">
        <v>129</v>
      </c>
      <c r="H48" s="199">
        <v>53</v>
      </c>
      <c r="I48" s="199">
        <v>261.7</v>
      </c>
      <c r="J48" s="199">
        <f t="shared" si="29"/>
        <v>13870.1</v>
      </c>
      <c r="K48" s="200"/>
      <c r="L48" s="201"/>
      <c r="M48" s="202"/>
      <c r="N48" s="203" t="s">
        <v>132</v>
      </c>
      <c r="O48" s="191">
        <v>0</v>
      </c>
      <c r="P48" s="191">
        <f t="shared" si="20"/>
        <v>0</v>
      </c>
      <c r="Q48" s="191">
        <v>0</v>
      </c>
      <c r="R48" s="191">
        <f t="shared" si="21"/>
        <v>0</v>
      </c>
      <c r="S48" s="191">
        <v>0</v>
      </c>
      <c r="T48" s="192">
        <f t="shared" si="22"/>
        <v>0</v>
      </c>
      <c r="AR48" s="193" t="s">
        <v>34</v>
      </c>
      <c r="AT48" s="193" t="s">
        <v>175</v>
      </c>
      <c r="AU48" s="193" t="s">
        <v>38</v>
      </c>
      <c r="AY48" s="158" t="s">
        <v>122</v>
      </c>
      <c r="BE48" s="194">
        <f t="shared" si="23"/>
        <v>0</v>
      </c>
      <c r="BF48" s="194">
        <f t="shared" si="24"/>
        <v>13870.1</v>
      </c>
      <c r="BG48" s="194">
        <f t="shared" si="25"/>
        <v>0</v>
      </c>
      <c r="BH48" s="194">
        <f t="shared" si="26"/>
        <v>0</v>
      </c>
      <c r="BI48" s="194">
        <f t="shared" si="27"/>
        <v>0</v>
      </c>
      <c r="BJ48" s="158" t="s">
        <v>38</v>
      </c>
      <c r="BK48" s="194">
        <f t="shared" si="28"/>
        <v>13870.1</v>
      </c>
      <c r="BL48" s="158" t="s">
        <v>50</v>
      </c>
      <c r="BM48" s="193" t="s">
        <v>207</v>
      </c>
    </row>
    <row r="49" spans="2:65" s="171" customFormat="1" ht="12.75">
      <c r="B49" s="172"/>
      <c r="D49" s="173" t="s">
        <v>73</v>
      </c>
      <c r="E49" s="174" t="s">
        <v>50</v>
      </c>
      <c r="F49" s="174" t="s">
        <v>208</v>
      </c>
      <c r="H49" s="175"/>
      <c r="I49" s="175"/>
      <c r="J49" s="176">
        <f>SUM(J50:J53)</f>
        <v>22068.625500000002</v>
      </c>
      <c r="L49" s="172"/>
      <c r="M49" s="177"/>
      <c r="P49" s="178">
        <f>SUM(P50:P53)</f>
        <v>0</v>
      </c>
      <c r="R49" s="178">
        <f>SUM(R50:R53)</f>
        <v>0</v>
      </c>
      <c r="T49" s="179">
        <f>SUM(T50:T53)</f>
        <v>0</v>
      </c>
      <c r="V49" s="175"/>
      <c r="AR49" s="173" t="s">
        <v>31</v>
      </c>
      <c r="AT49" s="180" t="s">
        <v>73</v>
      </c>
      <c r="AU49" s="180" t="s">
        <v>31</v>
      </c>
      <c r="AY49" s="173" t="s">
        <v>122</v>
      </c>
      <c r="BK49" s="181">
        <f>SUM(BK50:BK53)</f>
        <v>22068.63</v>
      </c>
    </row>
    <row r="50" spans="2:65" s="129" customFormat="1" ht="12">
      <c r="B50" s="182"/>
      <c r="C50" s="183" t="s">
        <v>209</v>
      </c>
      <c r="D50" s="183" t="s">
        <v>124</v>
      </c>
      <c r="E50" s="184" t="s">
        <v>210</v>
      </c>
      <c r="F50" s="185" t="s">
        <v>211</v>
      </c>
      <c r="G50" s="186" t="s">
        <v>127</v>
      </c>
      <c r="H50" s="187">
        <f>H51</f>
        <v>229.19200000000001</v>
      </c>
      <c r="I50" s="187">
        <v>2.4500000000000002</v>
      </c>
      <c r="J50" s="187">
        <f>ROUND(I50*H50,3)</f>
        <v>561.52</v>
      </c>
      <c r="K50" s="188"/>
      <c r="L50" s="133"/>
      <c r="M50" s="189"/>
      <c r="N50" s="190" t="s">
        <v>132</v>
      </c>
      <c r="O50" s="191">
        <v>0</v>
      </c>
      <c r="P50" s="191">
        <f>O50*H50</f>
        <v>0</v>
      </c>
      <c r="Q50" s="191">
        <v>0</v>
      </c>
      <c r="R50" s="191">
        <f>Q50*H50</f>
        <v>0</v>
      </c>
      <c r="S50" s="191">
        <v>0</v>
      </c>
      <c r="T50" s="192">
        <f>S50*H50</f>
        <v>0</v>
      </c>
      <c r="AR50" s="193" t="s">
        <v>50</v>
      </c>
      <c r="AT50" s="193" t="s">
        <v>124</v>
      </c>
      <c r="AU50" s="193" t="s">
        <v>38</v>
      </c>
      <c r="AY50" s="158" t="s">
        <v>122</v>
      </c>
      <c r="BE50" s="194">
        <f>IF(N50="základná",J50,0)</f>
        <v>0</v>
      </c>
      <c r="BF50" s="194">
        <f>IF(N50="znížená",J50,0)</f>
        <v>561.52</v>
      </c>
      <c r="BG50" s="194">
        <f>IF(N50="zákl. prenesená",J50,0)</f>
        <v>0</v>
      </c>
      <c r="BH50" s="194">
        <f>IF(N50="zníž. prenesená",J50,0)</f>
        <v>0</v>
      </c>
      <c r="BI50" s="194">
        <f>IF(N50="nulová",J50,0)</f>
        <v>0</v>
      </c>
      <c r="BJ50" s="158" t="s">
        <v>38</v>
      </c>
      <c r="BK50" s="194">
        <f>ROUND(I50*H50,2)</f>
        <v>561.52</v>
      </c>
      <c r="BL50" s="158" t="s">
        <v>50</v>
      </c>
      <c r="BM50" s="193" t="s">
        <v>212</v>
      </c>
    </row>
    <row r="51" spans="2:65" s="129" customFormat="1" ht="24">
      <c r="B51" s="182"/>
      <c r="C51" s="183" t="s">
        <v>171</v>
      </c>
      <c r="D51" s="183" t="s">
        <v>124</v>
      </c>
      <c r="E51" s="184" t="s">
        <v>213</v>
      </c>
      <c r="F51" s="185" t="s">
        <v>214</v>
      </c>
      <c r="G51" s="186" t="s">
        <v>127</v>
      </c>
      <c r="H51" s="187">
        <f>(H71-4)*7.9+53.2+(44*1.118)+2*16</f>
        <v>229.19200000000001</v>
      </c>
      <c r="I51" s="187">
        <v>52.74</v>
      </c>
      <c r="J51" s="187">
        <f>ROUND(I51*H51,4)</f>
        <v>12087.5861</v>
      </c>
      <c r="K51" s="188"/>
      <c r="L51" s="133"/>
      <c r="M51" s="189"/>
      <c r="N51" s="190" t="s">
        <v>132</v>
      </c>
      <c r="O51" s="191">
        <v>0</v>
      </c>
      <c r="P51" s="191">
        <f>O51*H51</f>
        <v>0</v>
      </c>
      <c r="Q51" s="191">
        <v>0</v>
      </c>
      <c r="R51" s="191">
        <f>Q51*H51</f>
        <v>0</v>
      </c>
      <c r="S51" s="191">
        <v>0</v>
      </c>
      <c r="T51" s="192">
        <f>S51*H51</f>
        <v>0</v>
      </c>
      <c r="AR51" s="193" t="s">
        <v>50</v>
      </c>
      <c r="AT51" s="193" t="s">
        <v>124</v>
      </c>
      <c r="AU51" s="193" t="s">
        <v>38</v>
      </c>
      <c r="AY51" s="158" t="s">
        <v>122</v>
      </c>
      <c r="BE51" s="194">
        <f>IF(N51="základná",J51,0)</f>
        <v>0</v>
      </c>
      <c r="BF51" s="194">
        <f>IF(N51="znížená",J51,0)</f>
        <v>12087.5861</v>
      </c>
      <c r="BG51" s="194">
        <f>IF(N51="zákl. prenesená",J51,0)</f>
        <v>0</v>
      </c>
      <c r="BH51" s="194">
        <f>IF(N51="zníž. prenesená",J51,0)</f>
        <v>0</v>
      </c>
      <c r="BI51" s="194">
        <f>IF(N51="nulová",J51,0)</f>
        <v>0</v>
      </c>
      <c r="BJ51" s="158" t="s">
        <v>38</v>
      </c>
      <c r="BK51" s="194">
        <f>ROUND(I51*H51,2)</f>
        <v>12087.59</v>
      </c>
      <c r="BL51" s="158" t="s">
        <v>50</v>
      </c>
      <c r="BM51" s="193" t="s">
        <v>215</v>
      </c>
    </row>
    <row r="52" spans="2:65" s="129" customFormat="1" ht="24">
      <c r="B52" s="182"/>
      <c r="C52" s="195" t="s">
        <v>216</v>
      </c>
      <c r="D52" s="195" t="s">
        <v>175</v>
      </c>
      <c r="E52" s="196" t="s">
        <v>217</v>
      </c>
      <c r="F52" s="197" t="s">
        <v>218</v>
      </c>
      <c r="G52" s="198" t="s">
        <v>127</v>
      </c>
      <c r="H52" s="199">
        <f>H51</f>
        <v>229.19200000000001</v>
      </c>
      <c r="I52" s="199">
        <v>27.08</v>
      </c>
      <c r="J52" s="199">
        <f>ROUND(I52*H52,4)</f>
        <v>6206.5194000000001</v>
      </c>
      <c r="K52" s="200"/>
      <c r="L52" s="201"/>
      <c r="M52" s="202"/>
      <c r="N52" s="203" t="s">
        <v>132</v>
      </c>
      <c r="O52" s="191">
        <v>0</v>
      </c>
      <c r="P52" s="191">
        <f>O52*H52</f>
        <v>0</v>
      </c>
      <c r="Q52" s="191">
        <v>0</v>
      </c>
      <c r="R52" s="191">
        <f>Q52*H52</f>
        <v>0</v>
      </c>
      <c r="S52" s="191">
        <v>0</v>
      </c>
      <c r="T52" s="192">
        <f>S52*H52</f>
        <v>0</v>
      </c>
      <c r="AR52" s="193" t="s">
        <v>34</v>
      </c>
      <c r="AT52" s="193" t="s">
        <v>175</v>
      </c>
      <c r="AU52" s="193" t="s">
        <v>38</v>
      </c>
      <c r="AY52" s="158" t="s">
        <v>122</v>
      </c>
      <c r="BE52" s="194">
        <f>IF(N52="základná",J52,0)</f>
        <v>0</v>
      </c>
      <c r="BF52" s="194">
        <f>IF(N52="znížená",J52,0)</f>
        <v>6206.5194000000001</v>
      </c>
      <c r="BG52" s="194">
        <f>IF(N52="zákl. prenesená",J52,0)</f>
        <v>0</v>
      </c>
      <c r="BH52" s="194">
        <f>IF(N52="zníž. prenesená",J52,0)</f>
        <v>0</v>
      </c>
      <c r="BI52" s="194">
        <f>IF(N52="nulová",J52,0)</f>
        <v>0</v>
      </c>
      <c r="BJ52" s="158" t="s">
        <v>38</v>
      </c>
      <c r="BK52" s="194">
        <f>ROUND(I52*H52,2)</f>
        <v>6206.52</v>
      </c>
      <c r="BL52" s="158" t="s">
        <v>50</v>
      </c>
      <c r="BM52" s="193" t="s">
        <v>219</v>
      </c>
    </row>
    <row r="53" spans="2:65" s="129" customFormat="1" ht="12">
      <c r="B53" s="182"/>
      <c r="C53" s="183" t="s">
        <v>174</v>
      </c>
      <c r="D53" s="183" t="s">
        <v>124</v>
      </c>
      <c r="E53" s="184" t="s">
        <v>220</v>
      </c>
      <c r="F53" s="185" t="s">
        <v>221</v>
      </c>
      <c r="G53" s="186" t="s">
        <v>129</v>
      </c>
      <c r="H53" s="187">
        <f>10*2*1.5+4+5+6*2</f>
        <v>51</v>
      </c>
      <c r="I53" s="187">
        <v>63</v>
      </c>
      <c r="J53" s="187">
        <f>ROUND(I53*H53,3)</f>
        <v>3213</v>
      </c>
      <c r="K53" s="188"/>
      <c r="L53" s="133"/>
      <c r="M53" s="189"/>
      <c r="N53" s="190" t="s">
        <v>132</v>
      </c>
      <c r="O53" s="191">
        <v>0</v>
      </c>
      <c r="P53" s="191">
        <f>O53*H53</f>
        <v>0</v>
      </c>
      <c r="Q53" s="191">
        <v>0</v>
      </c>
      <c r="R53" s="191">
        <f>Q53*H53</f>
        <v>0</v>
      </c>
      <c r="S53" s="191">
        <v>0</v>
      </c>
      <c r="T53" s="192">
        <f>S53*H53</f>
        <v>0</v>
      </c>
      <c r="AR53" s="193" t="s">
        <v>50</v>
      </c>
      <c r="AT53" s="193" t="s">
        <v>124</v>
      </c>
      <c r="AU53" s="193" t="s">
        <v>38</v>
      </c>
      <c r="AY53" s="158" t="s">
        <v>122</v>
      </c>
      <c r="BE53" s="194">
        <f>IF(N53="základná",J53,0)</f>
        <v>0</v>
      </c>
      <c r="BF53" s="194">
        <f>IF(N53="znížená",J53,0)</f>
        <v>3213</v>
      </c>
      <c r="BG53" s="194">
        <f>IF(N53="zákl. prenesená",J53,0)</f>
        <v>0</v>
      </c>
      <c r="BH53" s="194">
        <f>IF(N53="zníž. prenesená",J53,0)</f>
        <v>0</v>
      </c>
      <c r="BI53" s="194">
        <f>IF(N53="nulová",J53,0)</f>
        <v>0</v>
      </c>
      <c r="BJ53" s="158" t="s">
        <v>38</v>
      </c>
      <c r="BK53" s="194">
        <f>ROUND(I53*H53,2)</f>
        <v>3213</v>
      </c>
      <c r="BL53" s="158" t="s">
        <v>50</v>
      </c>
      <c r="BM53" s="193" t="s">
        <v>222</v>
      </c>
    </row>
    <row r="54" spans="2:65" s="171" customFormat="1" ht="12.75">
      <c r="B54" s="172"/>
      <c r="D54" s="173" t="s">
        <v>73</v>
      </c>
      <c r="E54" s="174" t="s">
        <v>54</v>
      </c>
      <c r="F54" s="174" t="s">
        <v>223</v>
      </c>
      <c r="H54" s="175"/>
      <c r="I54" s="175"/>
      <c r="J54" s="176">
        <f>SUM(J55:J66)</f>
        <v>403419.31400000007</v>
      </c>
      <c r="L54" s="172"/>
      <c r="M54" s="177"/>
      <c r="P54" s="178">
        <f>SUM(P55:P66)</f>
        <v>0</v>
      </c>
      <c r="R54" s="178">
        <f>SUM(R55:R66)</f>
        <v>0</v>
      </c>
      <c r="T54" s="179">
        <f>SUM(T55:T66)</f>
        <v>0</v>
      </c>
      <c r="V54" s="215"/>
      <c r="AR54" s="173" t="s">
        <v>31</v>
      </c>
      <c r="AT54" s="180" t="s">
        <v>73</v>
      </c>
      <c r="AU54" s="180" t="s">
        <v>31</v>
      </c>
      <c r="AY54" s="173" t="s">
        <v>122</v>
      </c>
      <c r="BK54" s="181">
        <f>SUM(BK55:BK66)</f>
        <v>378774.69000000006</v>
      </c>
    </row>
    <row r="55" spans="2:65" s="129" customFormat="1" ht="36">
      <c r="B55" s="182"/>
      <c r="C55" s="183" t="s">
        <v>224</v>
      </c>
      <c r="D55" s="183" t="s">
        <v>124</v>
      </c>
      <c r="E55" s="184" t="s">
        <v>225</v>
      </c>
      <c r="F55" s="185" t="s">
        <v>226</v>
      </c>
      <c r="G55" s="186" t="s">
        <v>127</v>
      </c>
      <c r="H55" s="187">
        <v>925</v>
      </c>
      <c r="I55" s="187">
        <v>10.68</v>
      </c>
      <c r="J55" s="187">
        <f t="shared" ref="J55:J66" si="30">ROUND(I55*H55,2)</f>
        <v>9879</v>
      </c>
      <c r="K55" s="188"/>
      <c r="L55" s="133"/>
      <c r="M55" s="189"/>
      <c r="N55" s="190" t="s">
        <v>132</v>
      </c>
      <c r="O55" s="191">
        <v>0</v>
      </c>
      <c r="P55" s="191">
        <f>O55*H55</f>
        <v>0</v>
      </c>
      <c r="Q55" s="191">
        <v>0</v>
      </c>
      <c r="R55" s="191">
        <f>Q55*H55</f>
        <v>0</v>
      </c>
      <c r="S55" s="191">
        <v>0</v>
      </c>
      <c r="T55" s="192">
        <f>S55*H55</f>
        <v>0</v>
      </c>
      <c r="AR55" s="193" t="s">
        <v>50</v>
      </c>
      <c r="AT55" s="193" t="s">
        <v>124</v>
      </c>
      <c r="AU55" s="193" t="s">
        <v>38</v>
      </c>
      <c r="AY55" s="158" t="s">
        <v>122</v>
      </c>
      <c r="BE55" s="194">
        <f>IF(N55="základná",J55,0)</f>
        <v>0</v>
      </c>
      <c r="BF55" s="194">
        <f>IF(N55="znížená",J55,0)</f>
        <v>9879</v>
      </c>
      <c r="BG55" s="194">
        <f>IF(N55="zákl. prenesená",J55,0)</f>
        <v>0</v>
      </c>
      <c r="BH55" s="194">
        <f>IF(N55="zníž. prenesená",J55,0)</f>
        <v>0</v>
      </c>
      <c r="BI55" s="194">
        <f>IF(N55="nulová",J55,0)</f>
        <v>0</v>
      </c>
      <c r="BJ55" s="158" t="s">
        <v>38</v>
      </c>
      <c r="BK55" s="194">
        <f>ROUND(I55*H55,2)</f>
        <v>9879</v>
      </c>
      <c r="BL55" s="158" t="s">
        <v>50</v>
      </c>
      <c r="BM55" s="193" t="s">
        <v>227</v>
      </c>
    </row>
    <row r="56" spans="2:65" s="129" customFormat="1" ht="24">
      <c r="B56" s="182"/>
      <c r="C56" s="183" t="s">
        <v>181</v>
      </c>
      <c r="D56" s="183" t="s">
        <v>124</v>
      </c>
      <c r="E56" s="184" t="s">
        <v>228</v>
      </c>
      <c r="F56" s="185" t="s">
        <v>229</v>
      </c>
      <c r="G56" s="186" t="s">
        <v>127</v>
      </c>
      <c r="H56" s="187">
        <f>1*H81+H71*1+3*H77+1.4*H85</f>
        <v>4271.1499999999996</v>
      </c>
      <c r="I56" s="187">
        <v>6.29</v>
      </c>
      <c r="J56" s="187">
        <f>ROUND(I56*H56,3)</f>
        <v>26865.534</v>
      </c>
      <c r="K56" s="188"/>
      <c r="L56" s="133"/>
      <c r="M56" s="189"/>
      <c r="N56" s="190" t="s">
        <v>132</v>
      </c>
      <c r="O56" s="191">
        <v>0</v>
      </c>
      <c r="P56" s="191">
        <f>O56*H56</f>
        <v>0</v>
      </c>
      <c r="Q56" s="191">
        <v>0</v>
      </c>
      <c r="R56" s="191">
        <f>Q56*H56</f>
        <v>0</v>
      </c>
      <c r="S56" s="191">
        <v>0</v>
      </c>
      <c r="T56" s="192">
        <f>S56*H56</f>
        <v>0</v>
      </c>
      <c r="AR56" s="193" t="s">
        <v>50</v>
      </c>
      <c r="AT56" s="193" t="s">
        <v>124</v>
      </c>
      <c r="AU56" s="193" t="s">
        <v>38</v>
      </c>
      <c r="AY56" s="158" t="s">
        <v>122</v>
      </c>
      <c r="BE56" s="194">
        <f>IF(N56="základná",J56,0)</f>
        <v>0</v>
      </c>
      <c r="BF56" s="194">
        <f>IF(N56="znížená",J56,0)</f>
        <v>26865.534</v>
      </c>
      <c r="BG56" s="194">
        <f>IF(N56="zákl. prenesená",J56,0)</f>
        <v>0</v>
      </c>
      <c r="BH56" s="194">
        <f>IF(N56="zníž. prenesená",J56,0)</f>
        <v>0</v>
      </c>
      <c r="BI56" s="194">
        <f>IF(N56="nulová",J56,0)</f>
        <v>0</v>
      </c>
      <c r="BJ56" s="158" t="s">
        <v>38</v>
      </c>
      <c r="BK56" s="194">
        <f>ROUND(I56*H56,2)</f>
        <v>26865.53</v>
      </c>
      <c r="BL56" s="158" t="s">
        <v>50</v>
      </c>
      <c r="BM56" s="193" t="s">
        <v>230</v>
      </c>
    </row>
    <row r="57" spans="2:65" s="129" customFormat="1" ht="36">
      <c r="B57" s="182"/>
      <c r="C57" s="183" t="s">
        <v>231</v>
      </c>
      <c r="D57" s="183" t="s">
        <v>124</v>
      </c>
      <c r="E57" s="184" t="s">
        <v>225</v>
      </c>
      <c r="F57" s="185" t="s">
        <v>226</v>
      </c>
      <c r="G57" s="186" t="s">
        <v>127</v>
      </c>
      <c r="H57" s="187">
        <v>925</v>
      </c>
      <c r="I57" s="187">
        <v>10.68</v>
      </c>
      <c r="J57" s="187">
        <f>ROUND(I57*H57,2)</f>
        <v>9879</v>
      </c>
      <c r="K57" s="188"/>
      <c r="L57" s="133"/>
      <c r="M57" s="189"/>
      <c r="N57" s="190" t="s">
        <v>132</v>
      </c>
      <c r="O57" s="191">
        <v>0</v>
      </c>
      <c r="P57" s="191">
        <f>O57*H57</f>
        <v>0</v>
      </c>
      <c r="Q57" s="191">
        <v>0</v>
      </c>
      <c r="R57" s="191">
        <f>Q57*H57</f>
        <v>0</v>
      </c>
      <c r="S57" s="191">
        <v>0</v>
      </c>
      <c r="T57" s="192">
        <f>S57*H57</f>
        <v>0</v>
      </c>
      <c r="X57" s="135"/>
      <c r="AR57" s="193" t="s">
        <v>50</v>
      </c>
      <c r="AT57" s="193" t="s">
        <v>124</v>
      </c>
      <c r="AU57" s="193" t="s">
        <v>38</v>
      </c>
      <c r="AY57" s="158" t="s">
        <v>122</v>
      </c>
      <c r="BE57" s="194">
        <f>IF(N57="základná",J57,0)</f>
        <v>0</v>
      </c>
      <c r="BF57" s="194">
        <f>IF(N57="znížená",J57,0)</f>
        <v>9879</v>
      </c>
      <c r="BG57" s="194">
        <f>IF(N57="zákl. prenesená",J57,0)</f>
        <v>0</v>
      </c>
      <c r="BH57" s="194">
        <f>IF(N57="zníž. prenesená",J57,0)</f>
        <v>0</v>
      </c>
      <c r="BI57" s="194">
        <f>IF(N57="nulová",J57,0)</f>
        <v>0</v>
      </c>
      <c r="BJ57" s="158" t="s">
        <v>38</v>
      </c>
      <c r="BK57" s="194">
        <f>ROUND(I57*H57,2)</f>
        <v>9879</v>
      </c>
      <c r="BL57" s="158" t="s">
        <v>50</v>
      </c>
      <c r="BM57" s="193" t="s">
        <v>232</v>
      </c>
    </row>
    <row r="58" spans="2:65" s="129" customFormat="1" ht="24">
      <c r="B58" s="182"/>
      <c r="C58" s="183"/>
      <c r="D58" s="183"/>
      <c r="E58" s="184" t="s">
        <v>233</v>
      </c>
      <c r="F58" s="185" t="s">
        <v>234</v>
      </c>
      <c r="G58" s="186" t="s">
        <v>127</v>
      </c>
      <c r="H58" s="187">
        <v>1001</v>
      </c>
      <c r="I58" s="187">
        <v>10.039999999999999</v>
      </c>
      <c r="J58" s="187">
        <f t="shared" si="30"/>
        <v>10050.040000000001</v>
      </c>
      <c r="K58" s="188"/>
      <c r="L58" s="133"/>
      <c r="M58" s="189"/>
      <c r="N58" s="190"/>
      <c r="O58" s="191"/>
      <c r="P58" s="191"/>
      <c r="Q58" s="191"/>
      <c r="R58" s="191"/>
      <c r="S58" s="191"/>
      <c r="T58" s="192"/>
      <c r="AR58" s="193"/>
      <c r="AT58" s="193"/>
      <c r="AU58" s="193"/>
      <c r="AY58" s="158"/>
      <c r="BE58" s="194"/>
      <c r="BF58" s="194"/>
      <c r="BG58" s="194"/>
      <c r="BH58" s="194"/>
      <c r="BI58" s="194"/>
      <c r="BJ58" s="158"/>
      <c r="BK58" s="194"/>
      <c r="BL58" s="158"/>
      <c r="BM58" s="193"/>
    </row>
    <row r="59" spans="2:65" s="129" customFormat="1" ht="36">
      <c r="B59" s="182"/>
      <c r="C59" s="183"/>
      <c r="D59" s="183"/>
      <c r="E59" s="184" t="s">
        <v>235</v>
      </c>
      <c r="F59" s="185" t="s">
        <v>236</v>
      </c>
      <c r="G59" s="186" t="s">
        <v>127</v>
      </c>
      <c r="H59" s="187">
        <v>1001</v>
      </c>
      <c r="I59" s="187">
        <v>14.58</v>
      </c>
      <c r="J59" s="187">
        <f t="shared" si="30"/>
        <v>14594.58</v>
      </c>
      <c r="K59" s="188"/>
      <c r="L59" s="133"/>
      <c r="M59" s="189"/>
      <c r="N59" s="190"/>
      <c r="O59" s="191"/>
      <c r="P59" s="191"/>
      <c r="Q59" s="191"/>
      <c r="R59" s="191"/>
      <c r="S59" s="191"/>
      <c r="T59" s="192"/>
      <c r="AR59" s="193"/>
      <c r="AT59" s="193"/>
      <c r="AU59" s="193"/>
      <c r="AY59" s="158"/>
      <c r="BE59" s="194"/>
      <c r="BF59" s="194"/>
      <c r="BG59" s="194"/>
      <c r="BH59" s="194"/>
      <c r="BI59" s="194"/>
      <c r="BJ59" s="158"/>
      <c r="BK59" s="194"/>
      <c r="BL59" s="158"/>
      <c r="BM59" s="193"/>
    </row>
    <row r="60" spans="2:65" s="129" customFormat="1" ht="36">
      <c r="B60" s="182"/>
      <c r="C60" s="183" t="s">
        <v>185</v>
      </c>
      <c r="D60" s="183" t="s">
        <v>124</v>
      </c>
      <c r="E60" s="184" t="s">
        <v>237</v>
      </c>
      <c r="F60" s="185" t="s">
        <v>238</v>
      </c>
      <c r="G60" s="186" t="s">
        <v>127</v>
      </c>
      <c r="H60" s="187">
        <f>H63</f>
        <v>9009</v>
      </c>
      <c r="I60" s="187">
        <v>19.88</v>
      </c>
      <c r="J60" s="187">
        <f t="shared" si="30"/>
        <v>179098.92</v>
      </c>
      <c r="K60" s="188"/>
      <c r="L60" s="133"/>
      <c r="M60" s="189"/>
      <c r="N60" s="190" t="s">
        <v>132</v>
      </c>
      <c r="O60" s="191">
        <v>0</v>
      </c>
      <c r="P60" s="191">
        <f t="shared" ref="P60:P66" si="31">O60*H60</f>
        <v>0</v>
      </c>
      <c r="Q60" s="191">
        <v>0</v>
      </c>
      <c r="R60" s="191">
        <f t="shared" ref="R60:R66" si="32">Q60*H60</f>
        <v>0</v>
      </c>
      <c r="S60" s="191">
        <v>0</v>
      </c>
      <c r="T60" s="192">
        <f t="shared" ref="T60:T66" si="33">S60*H60</f>
        <v>0</v>
      </c>
      <c r="AR60" s="193" t="s">
        <v>50</v>
      </c>
      <c r="AT60" s="193" t="s">
        <v>124</v>
      </c>
      <c r="AU60" s="193" t="s">
        <v>38</v>
      </c>
      <c r="AY60" s="158" t="s">
        <v>122</v>
      </c>
      <c r="BE60" s="194">
        <f t="shared" ref="BE60:BE66" si="34">IF(N60="základná",J60,0)</f>
        <v>0</v>
      </c>
      <c r="BF60" s="194">
        <f t="shared" ref="BF60:BF66" si="35">IF(N60="znížená",J60,0)</f>
        <v>179098.92</v>
      </c>
      <c r="BG60" s="194">
        <f t="shared" ref="BG60:BG66" si="36">IF(N60="zákl. prenesená",J60,0)</f>
        <v>0</v>
      </c>
      <c r="BH60" s="194">
        <f t="shared" ref="BH60:BH66" si="37">IF(N60="zníž. prenesená",J60,0)</f>
        <v>0</v>
      </c>
      <c r="BI60" s="194">
        <f t="shared" ref="BI60:BI66" si="38">IF(N60="nulová",J60,0)</f>
        <v>0</v>
      </c>
      <c r="BJ60" s="158" t="s">
        <v>38</v>
      </c>
      <c r="BK60" s="194">
        <f t="shared" ref="BK60:BK66" si="39">ROUND(I60*H60,2)</f>
        <v>179098.92</v>
      </c>
      <c r="BL60" s="158" t="s">
        <v>50</v>
      </c>
      <c r="BM60" s="193" t="s">
        <v>239</v>
      </c>
    </row>
    <row r="61" spans="2:65" s="129" customFormat="1" ht="24">
      <c r="B61" s="182"/>
      <c r="C61" s="183" t="s">
        <v>240</v>
      </c>
      <c r="D61" s="183" t="s">
        <v>124</v>
      </c>
      <c r="E61" s="184" t="s">
        <v>241</v>
      </c>
      <c r="F61" s="185" t="s">
        <v>242</v>
      </c>
      <c r="G61" s="186" t="s">
        <v>127</v>
      </c>
      <c r="H61" s="187">
        <f>H60</f>
        <v>9009</v>
      </c>
      <c r="I61" s="187">
        <v>0.92</v>
      </c>
      <c r="J61" s="187">
        <f t="shared" si="30"/>
        <v>8288.2800000000007</v>
      </c>
      <c r="K61" s="188"/>
      <c r="L61" s="133"/>
      <c r="M61" s="189"/>
      <c r="N61" s="190" t="s">
        <v>132</v>
      </c>
      <c r="O61" s="191">
        <v>0</v>
      </c>
      <c r="P61" s="191">
        <f t="shared" si="31"/>
        <v>0</v>
      </c>
      <c r="Q61" s="191">
        <v>0</v>
      </c>
      <c r="R61" s="191">
        <f t="shared" si="32"/>
        <v>0</v>
      </c>
      <c r="S61" s="191">
        <v>0</v>
      </c>
      <c r="T61" s="192">
        <f t="shared" si="33"/>
        <v>0</v>
      </c>
      <c r="AR61" s="193" t="s">
        <v>50</v>
      </c>
      <c r="AT61" s="193" t="s">
        <v>124</v>
      </c>
      <c r="AU61" s="193" t="s">
        <v>38</v>
      </c>
      <c r="AY61" s="158" t="s">
        <v>122</v>
      </c>
      <c r="BE61" s="194">
        <f t="shared" si="34"/>
        <v>0</v>
      </c>
      <c r="BF61" s="194">
        <f t="shared" si="35"/>
        <v>8288.2800000000007</v>
      </c>
      <c r="BG61" s="194">
        <f t="shared" si="36"/>
        <v>0</v>
      </c>
      <c r="BH61" s="194">
        <f t="shared" si="37"/>
        <v>0</v>
      </c>
      <c r="BI61" s="194">
        <f t="shared" si="38"/>
        <v>0</v>
      </c>
      <c r="BJ61" s="158" t="s">
        <v>38</v>
      </c>
      <c r="BK61" s="194">
        <f t="shared" si="39"/>
        <v>8288.2800000000007</v>
      </c>
      <c r="BL61" s="158" t="s">
        <v>50</v>
      </c>
      <c r="BM61" s="193" t="s">
        <v>243</v>
      </c>
    </row>
    <row r="62" spans="2:65" s="129" customFormat="1" ht="24">
      <c r="B62" s="182"/>
      <c r="C62" s="183" t="s">
        <v>188</v>
      </c>
      <c r="D62" s="183" t="s">
        <v>124</v>
      </c>
      <c r="E62" s="184" t="s">
        <v>244</v>
      </c>
      <c r="F62" s="185" t="s">
        <v>245</v>
      </c>
      <c r="G62" s="186" t="s">
        <v>127</v>
      </c>
      <c r="H62" s="187">
        <f>H63</f>
        <v>9009</v>
      </c>
      <c r="I62" s="187">
        <v>0.38</v>
      </c>
      <c r="J62" s="187">
        <f t="shared" si="30"/>
        <v>3423.42</v>
      </c>
      <c r="K62" s="188"/>
      <c r="L62" s="133"/>
      <c r="M62" s="189"/>
      <c r="N62" s="190" t="s">
        <v>132</v>
      </c>
      <c r="O62" s="191">
        <v>0</v>
      </c>
      <c r="P62" s="191">
        <f t="shared" si="31"/>
        <v>0</v>
      </c>
      <c r="Q62" s="191">
        <v>0</v>
      </c>
      <c r="R62" s="191">
        <f t="shared" si="32"/>
        <v>0</v>
      </c>
      <c r="S62" s="191">
        <v>0</v>
      </c>
      <c r="T62" s="192">
        <f t="shared" si="33"/>
        <v>0</v>
      </c>
      <c r="AR62" s="193" t="s">
        <v>50</v>
      </c>
      <c r="AT62" s="193" t="s">
        <v>124</v>
      </c>
      <c r="AU62" s="193" t="s">
        <v>38</v>
      </c>
      <c r="AY62" s="158" t="s">
        <v>122</v>
      </c>
      <c r="BE62" s="194">
        <f t="shared" si="34"/>
        <v>0</v>
      </c>
      <c r="BF62" s="194">
        <f t="shared" si="35"/>
        <v>3423.42</v>
      </c>
      <c r="BG62" s="194">
        <f t="shared" si="36"/>
        <v>0</v>
      </c>
      <c r="BH62" s="194">
        <f t="shared" si="37"/>
        <v>0</v>
      </c>
      <c r="BI62" s="194">
        <f t="shared" si="38"/>
        <v>0</v>
      </c>
      <c r="BJ62" s="158" t="s">
        <v>38</v>
      </c>
      <c r="BK62" s="194">
        <f t="shared" si="39"/>
        <v>3423.42</v>
      </c>
      <c r="BL62" s="158" t="s">
        <v>50</v>
      </c>
      <c r="BM62" s="193" t="s">
        <v>246</v>
      </c>
    </row>
    <row r="63" spans="2:65" s="129" customFormat="1" ht="36">
      <c r="B63" s="182"/>
      <c r="C63" s="183" t="s">
        <v>247</v>
      </c>
      <c r="D63" s="183" t="s">
        <v>124</v>
      </c>
      <c r="E63" s="184" t="s">
        <v>248</v>
      </c>
      <c r="F63" s="185" t="s">
        <v>249</v>
      </c>
      <c r="G63" s="186" t="s">
        <v>127</v>
      </c>
      <c r="H63" s="187">
        <v>9009</v>
      </c>
      <c r="I63" s="187">
        <v>13.79</v>
      </c>
      <c r="J63" s="187">
        <f t="shared" si="30"/>
        <v>124234.11</v>
      </c>
      <c r="K63" s="188"/>
      <c r="L63" s="133"/>
      <c r="M63" s="189"/>
      <c r="N63" s="190" t="s">
        <v>132</v>
      </c>
      <c r="O63" s="191">
        <v>0</v>
      </c>
      <c r="P63" s="191">
        <f t="shared" si="31"/>
        <v>0</v>
      </c>
      <c r="Q63" s="191">
        <v>0</v>
      </c>
      <c r="R63" s="191">
        <f t="shared" si="32"/>
        <v>0</v>
      </c>
      <c r="S63" s="191">
        <v>0</v>
      </c>
      <c r="T63" s="192">
        <f t="shared" si="33"/>
        <v>0</v>
      </c>
      <c r="AR63" s="193" t="s">
        <v>50</v>
      </c>
      <c r="AT63" s="193" t="s">
        <v>124</v>
      </c>
      <c r="AU63" s="193" t="s">
        <v>38</v>
      </c>
      <c r="AY63" s="158" t="s">
        <v>122</v>
      </c>
      <c r="BE63" s="194">
        <f t="shared" si="34"/>
        <v>0</v>
      </c>
      <c r="BF63" s="194">
        <f t="shared" si="35"/>
        <v>124234.11</v>
      </c>
      <c r="BG63" s="194">
        <f t="shared" si="36"/>
        <v>0</v>
      </c>
      <c r="BH63" s="194">
        <f t="shared" si="37"/>
        <v>0</v>
      </c>
      <c r="BI63" s="194">
        <f t="shared" si="38"/>
        <v>0</v>
      </c>
      <c r="BJ63" s="158" t="s">
        <v>38</v>
      </c>
      <c r="BK63" s="194">
        <f t="shared" si="39"/>
        <v>124234.11</v>
      </c>
      <c r="BL63" s="158" t="s">
        <v>50</v>
      </c>
      <c r="BM63" s="193" t="s">
        <v>250</v>
      </c>
    </row>
    <row r="64" spans="2:65" s="129" customFormat="1" ht="24">
      <c r="B64" s="182"/>
      <c r="C64" s="183" t="s">
        <v>195</v>
      </c>
      <c r="D64" s="183" t="s">
        <v>124</v>
      </c>
      <c r="E64" s="184" t="s">
        <v>251</v>
      </c>
      <c r="F64" s="185" t="s">
        <v>252</v>
      </c>
      <c r="G64" s="186" t="s">
        <v>127</v>
      </c>
      <c r="H64" s="187">
        <v>2552</v>
      </c>
      <c r="I64" s="187">
        <v>4.45</v>
      </c>
      <c r="J64" s="187">
        <f t="shared" si="30"/>
        <v>11356.4</v>
      </c>
      <c r="K64" s="188"/>
      <c r="L64" s="133"/>
      <c r="M64" s="189"/>
      <c r="N64" s="190" t="s">
        <v>132</v>
      </c>
      <c r="O64" s="191">
        <v>0</v>
      </c>
      <c r="P64" s="191">
        <f t="shared" si="31"/>
        <v>0</v>
      </c>
      <c r="Q64" s="191">
        <v>0</v>
      </c>
      <c r="R64" s="191">
        <f t="shared" si="32"/>
        <v>0</v>
      </c>
      <c r="S64" s="191">
        <v>0</v>
      </c>
      <c r="T64" s="192">
        <f t="shared" si="33"/>
        <v>0</v>
      </c>
      <c r="AR64" s="193" t="s">
        <v>50</v>
      </c>
      <c r="AT64" s="193" t="s">
        <v>124</v>
      </c>
      <c r="AU64" s="193" t="s">
        <v>38</v>
      </c>
      <c r="AY64" s="158" t="s">
        <v>122</v>
      </c>
      <c r="BE64" s="194">
        <f t="shared" si="34"/>
        <v>0</v>
      </c>
      <c r="BF64" s="194">
        <f t="shared" si="35"/>
        <v>11356.4</v>
      </c>
      <c r="BG64" s="194">
        <f t="shared" si="36"/>
        <v>0</v>
      </c>
      <c r="BH64" s="194">
        <f t="shared" si="37"/>
        <v>0</v>
      </c>
      <c r="BI64" s="194">
        <f t="shared" si="38"/>
        <v>0</v>
      </c>
      <c r="BJ64" s="158" t="s">
        <v>38</v>
      </c>
      <c r="BK64" s="194">
        <f t="shared" si="39"/>
        <v>11356.4</v>
      </c>
      <c r="BL64" s="158" t="s">
        <v>50</v>
      </c>
      <c r="BM64" s="193" t="s">
        <v>253</v>
      </c>
    </row>
    <row r="65" spans="2:65" s="129" customFormat="1" ht="12">
      <c r="B65" s="182"/>
      <c r="C65" s="183" t="s">
        <v>254</v>
      </c>
      <c r="D65" s="183" t="s">
        <v>124</v>
      </c>
      <c r="E65" s="184" t="s">
        <v>255</v>
      </c>
      <c r="F65" s="185" t="s">
        <v>256</v>
      </c>
      <c r="G65" s="186" t="s">
        <v>257</v>
      </c>
      <c r="H65" s="187">
        <f>H66</f>
        <v>11</v>
      </c>
      <c r="I65" s="187">
        <v>38.729999999999997</v>
      </c>
      <c r="J65" s="187">
        <f t="shared" si="30"/>
        <v>426.03</v>
      </c>
      <c r="K65" s="188"/>
      <c r="L65" s="133"/>
      <c r="M65" s="189"/>
      <c r="N65" s="190" t="s">
        <v>132</v>
      </c>
      <c r="O65" s="191">
        <v>0</v>
      </c>
      <c r="P65" s="191">
        <f t="shared" si="31"/>
        <v>0</v>
      </c>
      <c r="Q65" s="191">
        <v>0</v>
      </c>
      <c r="R65" s="191">
        <f t="shared" si="32"/>
        <v>0</v>
      </c>
      <c r="S65" s="191">
        <v>0</v>
      </c>
      <c r="T65" s="192">
        <f t="shared" si="33"/>
        <v>0</v>
      </c>
      <c r="AR65" s="193" t="s">
        <v>50</v>
      </c>
      <c r="AT65" s="193" t="s">
        <v>124</v>
      </c>
      <c r="AU65" s="193" t="s">
        <v>38</v>
      </c>
      <c r="AY65" s="158" t="s">
        <v>122</v>
      </c>
      <c r="BE65" s="194">
        <f t="shared" si="34"/>
        <v>0</v>
      </c>
      <c r="BF65" s="194">
        <f t="shared" si="35"/>
        <v>426.03</v>
      </c>
      <c r="BG65" s="194">
        <f t="shared" si="36"/>
        <v>0</v>
      </c>
      <c r="BH65" s="194">
        <f t="shared" si="37"/>
        <v>0</v>
      </c>
      <c r="BI65" s="194">
        <f t="shared" si="38"/>
        <v>0</v>
      </c>
      <c r="BJ65" s="158" t="s">
        <v>38</v>
      </c>
      <c r="BK65" s="194">
        <f t="shared" si="39"/>
        <v>426.03</v>
      </c>
      <c r="BL65" s="158" t="s">
        <v>50</v>
      </c>
      <c r="BM65" s="193" t="s">
        <v>258</v>
      </c>
    </row>
    <row r="66" spans="2:65" s="129" customFormat="1" ht="12">
      <c r="B66" s="182"/>
      <c r="C66" s="195" t="s">
        <v>198</v>
      </c>
      <c r="D66" s="195" t="s">
        <v>175</v>
      </c>
      <c r="E66" s="196" t="s">
        <v>259</v>
      </c>
      <c r="F66" s="197" t="s">
        <v>260</v>
      </c>
      <c r="G66" s="198" t="s">
        <v>257</v>
      </c>
      <c r="H66" s="199">
        <f>H77</f>
        <v>11</v>
      </c>
      <c r="I66" s="199">
        <v>484</v>
      </c>
      <c r="J66" s="199">
        <f t="shared" si="30"/>
        <v>5324</v>
      </c>
      <c r="K66" s="200"/>
      <c r="L66" s="201"/>
      <c r="M66" s="202"/>
      <c r="N66" s="203" t="s">
        <v>132</v>
      </c>
      <c r="O66" s="191">
        <v>0</v>
      </c>
      <c r="P66" s="191">
        <f t="shared" si="31"/>
        <v>0</v>
      </c>
      <c r="Q66" s="191">
        <v>0</v>
      </c>
      <c r="R66" s="191">
        <f t="shared" si="32"/>
        <v>0</v>
      </c>
      <c r="S66" s="191">
        <v>0</v>
      </c>
      <c r="T66" s="192">
        <f t="shared" si="33"/>
        <v>0</v>
      </c>
      <c r="AR66" s="193" t="s">
        <v>34</v>
      </c>
      <c r="AT66" s="193" t="s">
        <v>175</v>
      </c>
      <c r="AU66" s="193" t="s">
        <v>38</v>
      </c>
      <c r="AY66" s="158" t="s">
        <v>122</v>
      </c>
      <c r="BE66" s="194">
        <f t="shared" si="34"/>
        <v>0</v>
      </c>
      <c r="BF66" s="194">
        <f t="shared" si="35"/>
        <v>5324</v>
      </c>
      <c r="BG66" s="194">
        <f t="shared" si="36"/>
        <v>0</v>
      </c>
      <c r="BH66" s="194">
        <f t="shared" si="37"/>
        <v>0</v>
      </c>
      <c r="BI66" s="194">
        <f t="shared" si="38"/>
        <v>0</v>
      </c>
      <c r="BJ66" s="158" t="s">
        <v>38</v>
      </c>
      <c r="BK66" s="194">
        <f t="shared" si="39"/>
        <v>5324</v>
      </c>
      <c r="BL66" s="158" t="s">
        <v>50</v>
      </c>
      <c r="BM66" s="193" t="s">
        <v>261</v>
      </c>
    </row>
    <row r="67" spans="2:65" s="171" customFormat="1" ht="12.75">
      <c r="B67" s="172"/>
      <c r="D67" s="173" t="s">
        <v>73</v>
      </c>
      <c r="E67" s="174" t="s">
        <v>58</v>
      </c>
      <c r="F67" s="174" t="s">
        <v>262</v>
      </c>
      <c r="H67" s="175"/>
      <c r="I67" s="175"/>
      <c r="J67" s="176">
        <f>BK67</f>
        <v>10494.98</v>
      </c>
      <c r="L67" s="172"/>
      <c r="M67" s="177"/>
      <c r="P67" s="178">
        <f>SUM(P68:P69)</f>
        <v>192.2022351</v>
      </c>
      <c r="R67" s="178">
        <f>SUM(R68:R69)</f>
        <v>6.4030500000000004</v>
      </c>
      <c r="T67" s="179">
        <f>SUM(T68:T69)</f>
        <v>0</v>
      </c>
      <c r="V67" s="175"/>
      <c r="AR67" s="173" t="s">
        <v>31</v>
      </c>
      <c r="AT67" s="180" t="s">
        <v>73</v>
      </c>
      <c r="AU67" s="180" t="s">
        <v>31</v>
      </c>
      <c r="AY67" s="173" t="s">
        <v>122</v>
      </c>
      <c r="BK67" s="181">
        <f>SUM(BK68:BK69)</f>
        <v>10494.98</v>
      </c>
    </row>
    <row r="68" spans="2:65" s="129" customFormat="1" ht="24">
      <c r="B68" s="182"/>
      <c r="C68" s="183" t="s">
        <v>263</v>
      </c>
      <c r="D68" s="183" t="s">
        <v>124</v>
      </c>
      <c r="E68" s="184" t="s">
        <v>264</v>
      </c>
      <c r="F68" s="185" t="s">
        <v>265</v>
      </c>
      <c r="G68" s="186" t="s">
        <v>127</v>
      </c>
      <c r="H68" s="187">
        <f>2*(3.7+0.6)*1.25+2*(4.9+0.5)*1.35+2*(4.5+0.5)*2.5*2</f>
        <v>75.33</v>
      </c>
      <c r="I68" s="187">
        <v>76.260000000000005</v>
      </c>
      <c r="J68" s="187">
        <f>ROUND(I68*H68,3)</f>
        <v>5744.6660000000002</v>
      </c>
      <c r="K68" s="188"/>
      <c r="L68" s="133"/>
      <c r="M68" s="189"/>
      <c r="N68" s="190" t="s">
        <v>132</v>
      </c>
      <c r="O68" s="191">
        <v>1.51997</v>
      </c>
      <c r="P68" s="191">
        <f>O68*H68</f>
        <v>114.4993401</v>
      </c>
      <c r="Q68" s="191">
        <v>4.3650000000000001E-2</v>
      </c>
      <c r="R68" s="191">
        <f>Q68*H68</f>
        <v>3.2881545000000001</v>
      </c>
      <c r="S68" s="191">
        <v>0</v>
      </c>
      <c r="T68" s="192">
        <f>S68*H68</f>
        <v>0</v>
      </c>
      <c r="AR68" s="193" t="s">
        <v>50</v>
      </c>
      <c r="AT68" s="193" t="s">
        <v>124</v>
      </c>
      <c r="AU68" s="193" t="s">
        <v>38</v>
      </c>
      <c r="AY68" s="158" t="s">
        <v>122</v>
      </c>
      <c r="BE68" s="194">
        <f>IF(N68="základná",J68,0)</f>
        <v>0</v>
      </c>
      <c r="BF68" s="194">
        <f>IF(N68="znížená",J68,0)</f>
        <v>5744.6660000000002</v>
      </c>
      <c r="BG68" s="194">
        <f>IF(N68="zákl. prenesená",J68,0)</f>
        <v>0</v>
      </c>
      <c r="BH68" s="194">
        <f>IF(N68="zníž. prenesená",J68,0)</f>
        <v>0</v>
      </c>
      <c r="BI68" s="194">
        <f>IF(N68="nulová",J68,0)</f>
        <v>0</v>
      </c>
      <c r="BJ68" s="158" t="s">
        <v>38</v>
      </c>
      <c r="BK68" s="194">
        <f>ROUND(I68*H68,2)</f>
        <v>5744.67</v>
      </c>
      <c r="BL68" s="158" t="s">
        <v>50</v>
      </c>
      <c r="BM68" s="193" t="s">
        <v>266</v>
      </c>
    </row>
    <row r="69" spans="2:65" s="129" customFormat="1" ht="24">
      <c r="B69" s="182"/>
      <c r="C69" s="183" t="s">
        <v>201</v>
      </c>
      <c r="D69" s="183" t="s">
        <v>124</v>
      </c>
      <c r="E69" s="184" t="s">
        <v>267</v>
      </c>
      <c r="F69" s="185" t="s">
        <v>268</v>
      </c>
      <c r="G69" s="186" t="s">
        <v>127</v>
      </c>
      <c r="H69" s="187">
        <f>H68</f>
        <v>75.33</v>
      </c>
      <c r="I69" s="187">
        <v>63.06</v>
      </c>
      <c r="J69" s="187">
        <f>ROUND(I69*H69,2)</f>
        <v>4750.3100000000004</v>
      </c>
      <c r="K69" s="188"/>
      <c r="L69" s="133"/>
      <c r="M69" s="189"/>
      <c r="N69" s="190" t="s">
        <v>132</v>
      </c>
      <c r="O69" s="191">
        <v>1.0315000000000001</v>
      </c>
      <c r="P69" s="191">
        <f>O69*H69</f>
        <v>77.702894999999998</v>
      </c>
      <c r="Q69" s="191">
        <v>4.1349999999999998E-2</v>
      </c>
      <c r="R69" s="191">
        <f>Q69*H69</f>
        <v>3.1148954999999998</v>
      </c>
      <c r="S69" s="191">
        <v>0</v>
      </c>
      <c r="T69" s="192">
        <f>S69*H69</f>
        <v>0</v>
      </c>
      <c r="AR69" s="193" t="s">
        <v>50</v>
      </c>
      <c r="AT69" s="193" t="s">
        <v>124</v>
      </c>
      <c r="AU69" s="193" t="s">
        <v>38</v>
      </c>
      <c r="AY69" s="158" t="s">
        <v>122</v>
      </c>
      <c r="BE69" s="194">
        <f>IF(N69="základná",J69,0)</f>
        <v>0</v>
      </c>
      <c r="BF69" s="194">
        <f>IF(N69="znížená",J69,0)</f>
        <v>4750.3100000000004</v>
      </c>
      <c r="BG69" s="194">
        <f>IF(N69="zákl. prenesená",J69,0)</f>
        <v>0</v>
      </c>
      <c r="BH69" s="194">
        <f>IF(N69="zníž. prenesená",J69,0)</f>
        <v>0</v>
      </c>
      <c r="BI69" s="194">
        <f>IF(N69="nulová",J69,0)</f>
        <v>0</v>
      </c>
      <c r="BJ69" s="158" t="s">
        <v>38</v>
      </c>
      <c r="BK69" s="194">
        <f>ROUND(I69*H69,2)</f>
        <v>4750.3100000000004</v>
      </c>
      <c r="BL69" s="158" t="s">
        <v>50</v>
      </c>
      <c r="BM69" s="193" t="s">
        <v>269</v>
      </c>
    </row>
    <row r="70" spans="2:65" s="171" customFormat="1" ht="12.75">
      <c r="B70" s="172"/>
      <c r="D70" s="173" t="s">
        <v>73</v>
      </c>
      <c r="E70" s="174" t="s">
        <v>40</v>
      </c>
      <c r="F70" s="174" t="s">
        <v>270</v>
      </c>
      <c r="H70" s="175"/>
      <c r="I70" s="175"/>
      <c r="J70" s="176">
        <f>SUM(J71:J77)</f>
        <v>69236.905400000003</v>
      </c>
      <c r="L70" s="172"/>
      <c r="M70" s="177"/>
      <c r="P70" s="178" t="e">
        <f>#REF!+SUM(P71:P78)</f>
        <v>#REF!</v>
      </c>
      <c r="R70" s="178" t="e">
        <f>#REF!+SUM(R71:R78)</f>
        <v>#REF!</v>
      </c>
      <c r="T70" s="179" t="e">
        <f>#REF!+SUM(T71:T78)</f>
        <v>#REF!</v>
      </c>
      <c r="V70" s="175"/>
      <c r="AR70" s="173" t="s">
        <v>31</v>
      </c>
      <c r="AT70" s="180" t="s">
        <v>73</v>
      </c>
      <c r="AU70" s="180" t="s">
        <v>31</v>
      </c>
      <c r="AY70" s="173" t="s">
        <v>122</v>
      </c>
      <c r="BK70" s="181" t="e">
        <f>#REF!+SUM(BK71:BK78)</f>
        <v>#REF!</v>
      </c>
    </row>
    <row r="71" spans="2:65" s="129" customFormat="1" ht="24">
      <c r="B71" s="182"/>
      <c r="C71" s="183" t="s">
        <v>204</v>
      </c>
      <c r="D71" s="183" t="s">
        <v>124</v>
      </c>
      <c r="E71" s="184" t="s">
        <v>271</v>
      </c>
      <c r="F71" s="185" t="s">
        <v>272</v>
      </c>
      <c r="G71" s="186" t="s">
        <v>257</v>
      </c>
      <c r="H71" s="187">
        <v>16</v>
      </c>
      <c r="I71" s="187">
        <v>901.85</v>
      </c>
      <c r="J71" s="187">
        <f>ROUND(I71*H71,4)</f>
        <v>14429.6</v>
      </c>
      <c r="K71" s="188"/>
      <c r="L71" s="133"/>
      <c r="M71" s="189"/>
      <c r="N71" s="190" t="s">
        <v>132</v>
      </c>
      <c r="O71" s="191">
        <v>15.49948</v>
      </c>
      <c r="P71" s="191">
        <f>O71*H71</f>
        <v>247.99168</v>
      </c>
      <c r="Q71" s="191">
        <v>14.553509999999999</v>
      </c>
      <c r="R71" s="191">
        <f>Q71*H71</f>
        <v>232.85615999999999</v>
      </c>
      <c r="S71" s="191">
        <v>0</v>
      </c>
      <c r="T71" s="192">
        <f>S71*H71</f>
        <v>0</v>
      </c>
      <c r="AR71" s="193" t="s">
        <v>50</v>
      </c>
      <c r="AT71" s="193" t="s">
        <v>124</v>
      </c>
      <c r="AU71" s="193" t="s">
        <v>38</v>
      </c>
      <c r="AY71" s="158" t="s">
        <v>122</v>
      </c>
      <c r="BE71" s="194">
        <f>IF(N71="základná",J71,0)</f>
        <v>0</v>
      </c>
      <c r="BF71" s="194">
        <f>IF(N71="znížená",J71,0)</f>
        <v>14429.6</v>
      </c>
      <c r="BG71" s="194">
        <f>IF(N71="zákl. prenesená",J71,0)</f>
        <v>0</v>
      </c>
      <c r="BH71" s="194">
        <f>IF(N71="zníž. prenesená",J71,0)</f>
        <v>0</v>
      </c>
      <c r="BI71" s="194">
        <f>IF(N71="nulová",J71,0)</f>
        <v>0</v>
      </c>
      <c r="BJ71" s="158" t="s">
        <v>38</v>
      </c>
      <c r="BK71" s="194">
        <f>ROUND(I71*H71,2)</f>
        <v>14429.6</v>
      </c>
      <c r="BL71" s="158" t="s">
        <v>50</v>
      </c>
      <c r="BM71" s="193" t="s">
        <v>273</v>
      </c>
    </row>
    <row r="72" spans="2:65" s="129" customFormat="1" ht="24">
      <c r="B72" s="182"/>
      <c r="C72" s="183" t="s">
        <v>274</v>
      </c>
      <c r="D72" s="183" t="s">
        <v>124</v>
      </c>
      <c r="E72" s="184" t="s">
        <v>275</v>
      </c>
      <c r="F72" s="185" t="s">
        <v>276</v>
      </c>
      <c r="G72" s="186" t="s">
        <v>129</v>
      </c>
      <c r="H72" s="187">
        <f>5.75+11+10+8</f>
        <v>34.75</v>
      </c>
      <c r="I72" s="187">
        <v>69.510000000000005</v>
      </c>
      <c r="J72" s="187">
        <f>ROUND(I72*H72,4)</f>
        <v>2415.4724999999999</v>
      </c>
      <c r="K72" s="188"/>
      <c r="L72" s="133"/>
      <c r="M72" s="189"/>
      <c r="N72" s="190" t="s">
        <v>132</v>
      </c>
      <c r="O72" s="191">
        <v>3.2749999999999999</v>
      </c>
      <c r="P72" s="191">
        <f>O72*H72</f>
        <v>113.80624999999999</v>
      </c>
      <c r="Q72" s="191">
        <v>0</v>
      </c>
      <c r="R72" s="191">
        <f>Q72*H72</f>
        <v>0</v>
      </c>
      <c r="S72" s="191">
        <v>0.98</v>
      </c>
      <c r="T72" s="192">
        <f>S72*H72</f>
        <v>34.055</v>
      </c>
      <c r="AR72" s="193" t="s">
        <v>50</v>
      </c>
      <c r="AT72" s="193" t="s">
        <v>124</v>
      </c>
      <c r="AU72" s="193" t="s">
        <v>38</v>
      </c>
      <c r="AY72" s="158" t="s">
        <v>122</v>
      </c>
      <c r="BE72" s="194">
        <f>IF(N72="základná",J72,0)</f>
        <v>0</v>
      </c>
      <c r="BF72" s="194">
        <f>IF(N72="znížená",J72,0)</f>
        <v>2415.4724999999999</v>
      </c>
      <c r="BG72" s="194">
        <f>IF(N72="zákl. prenesená",J72,0)</f>
        <v>0</v>
      </c>
      <c r="BH72" s="194">
        <f>IF(N72="zníž. prenesená",J72,0)</f>
        <v>0</v>
      </c>
      <c r="BI72" s="194">
        <f>IF(N72="nulová",J72,0)</f>
        <v>0</v>
      </c>
      <c r="BJ72" s="158" t="s">
        <v>38</v>
      </c>
      <c r="BK72" s="194">
        <f>ROUND(I72*H72,2)</f>
        <v>2415.4699999999998</v>
      </c>
      <c r="BL72" s="158" t="s">
        <v>50</v>
      </c>
      <c r="BM72" s="193" t="s">
        <v>277</v>
      </c>
    </row>
    <row r="73" spans="2:65" s="129" customFormat="1" ht="12">
      <c r="B73" s="182"/>
      <c r="C73" s="183" t="s">
        <v>278</v>
      </c>
      <c r="D73" s="183" t="s">
        <v>124</v>
      </c>
      <c r="E73" s="184" t="s">
        <v>279</v>
      </c>
      <c r="F73" s="185" t="s">
        <v>280</v>
      </c>
      <c r="G73" s="186" t="s">
        <v>167</v>
      </c>
      <c r="H73" s="187">
        <f>H72*0.98+H18*0.127+H20*0.4</f>
        <v>561.58199999999999</v>
      </c>
      <c r="I73" s="187">
        <v>16.11</v>
      </c>
      <c r="J73" s="187">
        <f>ROUND(I73*H73,4)</f>
        <v>9047.0859999999993</v>
      </c>
      <c r="K73" s="188"/>
      <c r="L73" s="133"/>
      <c r="M73" s="189"/>
      <c r="N73" s="190" t="s">
        <v>132</v>
      </c>
      <c r="O73" s="191">
        <v>0.59799999999999998</v>
      </c>
      <c r="P73" s="191">
        <f>O73*H73</f>
        <v>335.82603599999999</v>
      </c>
      <c r="Q73" s="191">
        <v>0</v>
      </c>
      <c r="R73" s="191">
        <f>Q73*H73</f>
        <v>0</v>
      </c>
      <c r="S73" s="191">
        <v>0</v>
      </c>
      <c r="T73" s="192">
        <f>S73*H73</f>
        <v>0</v>
      </c>
      <c r="AR73" s="193" t="s">
        <v>50</v>
      </c>
      <c r="AT73" s="193" t="s">
        <v>124</v>
      </c>
      <c r="AU73" s="193" t="s">
        <v>38</v>
      </c>
      <c r="AY73" s="158" t="s">
        <v>122</v>
      </c>
      <c r="BE73" s="194">
        <f>IF(N73="základná",J73,0)</f>
        <v>0</v>
      </c>
      <c r="BF73" s="194">
        <f>IF(N73="znížená",J73,0)</f>
        <v>9047.0859999999993</v>
      </c>
      <c r="BG73" s="194">
        <f>IF(N73="zákl. prenesená",J73,0)</f>
        <v>0</v>
      </c>
      <c r="BH73" s="194">
        <f>IF(N73="zníž. prenesená",J73,0)</f>
        <v>0</v>
      </c>
      <c r="BI73" s="194">
        <f>IF(N73="nulová",J73,0)</f>
        <v>0</v>
      </c>
      <c r="BJ73" s="158" t="s">
        <v>38</v>
      </c>
      <c r="BK73" s="194">
        <f>ROUND(I73*H73,2)</f>
        <v>9047.09</v>
      </c>
      <c r="BL73" s="158" t="s">
        <v>50</v>
      </c>
      <c r="BM73" s="193" t="s">
        <v>281</v>
      </c>
    </row>
    <row r="74" spans="2:65" s="129" customFormat="1" ht="24">
      <c r="B74" s="182"/>
      <c r="C74" s="183" t="s">
        <v>212</v>
      </c>
      <c r="D74" s="183" t="s">
        <v>124</v>
      </c>
      <c r="E74" s="184" t="s">
        <v>282</v>
      </c>
      <c r="F74" s="185" t="s">
        <v>283</v>
      </c>
      <c r="G74" s="186" t="s">
        <v>167</v>
      </c>
      <c r="H74" s="187">
        <f>H73*45</f>
        <v>25271.19</v>
      </c>
      <c r="I74" s="187">
        <v>0.51</v>
      </c>
      <c r="J74" s="187">
        <f>ROUND(I74*H74,4)</f>
        <v>12888.3069</v>
      </c>
      <c r="K74" s="188"/>
      <c r="L74" s="133"/>
      <c r="M74" s="189"/>
      <c r="N74" s="190" t="s">
        <v>132</v>
      </c>
      <c r="O74" s="191">
        <v>7.0000000000000001E-3</v>
      </c>
      <c r="P74" s="191">
        <f>O74*H74</f>
        <v>176.89832999999999</v>
      </c>
      <c r="Q74" s="191">
        <v>0</v>
      </c>
      <c r="R74" s="191">
        <f>Q74*H74</f>
        <v>0</v>
      </c>
      <c r="S74" s="191">
        <v>0</v>
      </c>
      <c r="T74" s="192">
        <f>S74*H74</f>
        <v>0</v>
      </c>
      <c r="AR74" s="193" t="s">
        <v>50</v>
      </c>
      <c r="AT74" s="193" t="s">
        <v>124</v>
      </c>
      <c r="AU74" s="193" t="s">
        <v>38</v>
      </c>
      <c r="AY74" s="158" t="s">
        <v>122</v>
      </c>
      <c r="BE74" s="194">
        <f>IF(N74="základná",J74,0)</f>
        <v>0</v>
      </c>
      <c r="BF74" s="194">
        <f>IF(N74="znížená",J74,0)</f>
        <v>12888.3069</v>
      </c>
      <c r="BG74" s="194">
        <f>IF(N74="zákl. prenesená",J74,0)</f>
        <v>0</v>
      </c>
      <c r="BH74" s="194">
        <f>IF(N74="zníž. prenesená",J74,0)</f>
        <v>0</v>
      </c>
      <c r="BI74" s="194">
        <f>IF(N74="nulová",J74,0)</f>
        <v>0</v>
      </c>
      <c r="BJ74" s="158" t="s">
        <v>38</v>
      </c>
      <c r="BK74" s="194">
        <f>ROUND(I74*H74,2)</f>
        <v>12888.31</v>
      </c>
      <c r="BL74" s="158" t="s">
        <v>50</v>
      </c>
      <c r="BM74" s="193" t="s">
        <v>284</v>
      </c>
    </row>
    <row r="75" spans="2:65" s="129" customFormat="1" ht="24">
      <c r="B75" s="182"/>
      <c r="C75" s="183" t="s">
        <v>285</v>
      </c>
      <c r="D75" s="183" t="s">
        <v>124</v>
      </c>
      <c r="E75" s="184" t="s">
        <v>286</v>
      </c>
      <c r="F75" s="185" t="s">
        <v>287</v>
      </c>
      <c r="G75" s="186" t="s">
        <v>167</v>
      </c>
      <c r="H75" s="187">
        <f>H73-H76</f>
        <v>434.45499999999998</v>
      </c>
      <c r="I75" s="187">
        <v>30</v>
      </c>
      <c r="J75" s="187">
        <f>ROUND(I75*H75,4)</f>
        <v>13033.65</v>
      </c>
      <c r="K75" s="188"/>
      <c r="L75" s="133"/>
      <c r="M75" s="189"/>
      <c r="N75" s="190" t="s">
        <v>132</v>
      </c>
      <c r="O75" s="191">
        <v>0</v>
      </c>
      <c r="P75" s="191">
        <f>O75*H75</f>
        <v>0</v>
      </c>
      <c r="Q75" s="191">
        <v>0</v>
      </c>
      <c r="R75" s="191">
        <f>Q75*H75</f>
        <v>0</v>
      </c>
      <c r="S75" s="191">
        <v>0</v>
      </c>
      <c r="T75" s="192">
        <f>S75*H75</f>
        <v>0</v>
      </c>
      <c r="AR75" s="193" t="s">
        <v>50</v>
      </c>
      <c r="AT75" s="193" t="s">
        <v>124</v>
      </c>
      <c r="AU75" s="193" t="s">
        <v>38</v>
      </c>
      <c r="AY75" s="158" t="s">
        <v>122</v>
      </c>
      <c r="BE75" s="194">
        <f>IF(N75="základná",J75,0)</f>
        <v>0</v>
      </c>
      <c r="BF75" s="194">
        <f>IF(N75="znížená",J75,0)</f>
        <v>13033.65</v>
      </c>
      <c r="BG75" s="194">
        <f>IF(N75="zákl. prenesená",J75,0)</f>
        <v>0</v>
      </c>
      <c r="BH75" s="194">
        <f>IF(N75="zníž. prenesená",J75,0)</f>
        <v>0</v>
      </c>
      <c r="BI75" s="194">
        <f>IF(N75="nulová",J75,0)</f>
        <v>0</v>
      </c>
      <c r="BJ75" s="158" t="s">
        <v>38</v>
      </c>
      <c r="BK75" s="194">
        <f>ROUND(I75*H75,2)</f>
        <v>13033.65</v>
      </c>
      <c r="BL75" s="158" t="s">
        <v>50</v>
      </c>
      <c r="BM75" s="193" t="s">
        <v>288</v>
      </c>
    </row>
    <row r="76" spans="2:65" s="129" customFormat="1" ht="24">
      <c r="B76" s="182"/>
      <c r="C76" s="183"/>
      <c r="D76" s="183"/>
      <c r="E76" s="184" t="s">
        <v>289</v>
      </c>
      <c r="F76" s="185" t="s">
        <v>290</v>
      </c>
      <c r="G76" s="186" t="s">
        <v>167</v>
      </c>
      <c r="H76" s="187">
        <f>H18*0.127</f>
        <v>127.127</v>
      </c>
      <c r="I76" s="187">
        <v>30</v>
      </c>
      <c r="J76" s="187">
        <f>H76*I76</f>
        <v>3813.81</v>
      </c>
      <c r="K76" s="188"/>
      <c r="L76" s="133"/>
      <c r="M76" s="189"/>
      <c r="N76" s="190"/>
      <c r="O76" s="191"/>
      <c r="P76" s="191"/>
      <c r="Q76" s="191"/>
      <c r="R76" s="191"/>
      <c r="S76" s="191"/>
      <c r="T76" s="192"/>
      <c r="AR76" s="193"/>
      <c r="AT76" s="193"/>
      <c r="AU76" s="193"/>
      <c r="AY76" s="158"/>
      <c r="BE76" s="194"/>
      <c r="BF76" s="194"/>
      <c r="BG76" s="194"/>
      <c r="BH76" s="194"/>
      <c r="BI76" s="194"/>
      <c r="BJ76" s="158"/>
      <c r="BK76" s="194"/>
      <c r="BL76" s="158"/>
      <c r="BM76" s="193"/>
    </row>
    <row r="77" spans="2:65" s="129" customFormat="1" ht="24">
      <c r="B77" s="182"/>
      <c r="C77" s="183" t="s">
        <v>215</v>
      </c>
      <c r="D77" s="183" t="s">
        <v>124</v>
      </c>
      <c r="E77" s="184" t="s">
        <v>291</v>
      </c>
      <c r="F77" s="185" t="s">
        <v>292</v>
      </c>
      <c r="G77" s="186" t="s">
        <v>257</v>
      </c>
      <c r="H77" s="187">
        <f>8+3</f>
        <v>11</v>
      </c>
      <c r="I77" s="187">
        <v>1237.18</v>
      </c>
      <c r="J77" s="187">
        <f>ROUND(I77*H77,4)</f>
        <v>13608.98</v>
      </c>
      <c r="K77" s="188"/>
      <c r="L77" s="133"/>
      <c r="M77" s="189"/>
      <c r="N77" s="190" t="s">
        <v>132</v>
      </c>
      <c r="O77" s="191">
        <v>0</v>
      </c>
      <c r="P77" s="191">
        <f>O77*H77</f>
        <v>0</v>
      </c>
      <c r="Q77" s="191">
        <v>0</v>
      </c>
      <c r="R77" s="191">
        <f>Q77*H77</f>
        <v>0</v>
      </c>
      <c r="S77" s="191">
        <v>0</v>
      </c>
      <c r="T77" s="192">
        <f>S77*H77</f>
        <v>0</v>
      </c>
      <c r="AR77" s="193" t="s">
        <v>50</v>
      </c>
      <c r="AT77" s="193" t="s">
        <v>124</v>
      </c>
      <c r="AU77" s="193" t="s">
        <v>38</v>
      </c>
      <c r="AY77" s="158" t="s">
        <v>122</v>
      </c>
      <c r="BE77" s="194">
        <f>IF(N77="základná",J77,0)</f>
        <v>0</v>
      </c>
      <c r="BF77" s="194">
        <f>IF(N77="znížená",J77,0)</f>
        <v>13608.98</v>
      </c>
      <c r="BG77" s="194">
        <f>IF(N77="zákl. prenesená",J77,0)</f>
        <v>0</v>
      </c>
      <c r="BH77" s="194">
        <f>IF(N77="zníž. prenesená",J77,0)</f>
        <v>0</v>
      </c>
      <c r="BI77" s="194">
        <f>IF(N77="nulová",J77,0)</f>
        <v>0</v>
      </c>
      <c r="BJ77" s="158" t="s">
        <v>38</v>
      </c>
      <c r="BK77" s="194">
        <f>ROUND(I77*H77,2)</f>
        <v>13608.98</v>
      </c>
      <c r="BL77" s="158" t="s">
        <v>50</v>
      </c>
      <c r="BM77" s="193" t="s">
        <v>293</v>
      </c>
    </row>
    <row r="78" spans="2:65" s="171" customFormat="1" ht="12.75">
      <c r="B78" s="172"/>
      <c r="D78" s="173" t="s">
        <v>73</v>
      </c>
      <c r="E78" s="174" t="s">
        <v>34</v>
      </c>
      <c r="F78" s="174" t="s">
        <v>294</v>
      </c>
      <c r="H78" s="175"/>
      <c r="I78" s="175"/>
      <c r="J78" s="176">
        <f>SUM(J79:J94)</f>
        <v>326610.97599999997</v>
      </c>
      <c r="L78" s="172"/>
      <c r="M78" s="177"/>
      <c r="P78" s="178">
        <f>SUM(P79:P92)</f>
        <v>27.642000000000003</v>
      </c>
      <c r="R78" s="178">
        <f>SUM(R79:R92)</f>
        <v>0</v>
      </c>
      <c r="T78" s="179">
        <f>SUM(T79:T92)</f>
        <v>0</v>
      </c>
      <c r="V78" s="175"/>
      <c r="AR78" s="173" t="s">
        <v>31</v>
      </c>
      <c r="AT78" s="180" t="s">
        <v>73</v>
      </c>
      <c r="AU78" s="180" t="s">
        <v>38</v>
      </c>
      <c r="AY78" s="173" t="s">
        <v>122</v>
      </c>
      <c r="BK78" s="181">
        <f>SUM(BK79:BK92)</f>
        <v>323776.21999999997</v>
      </c>
    </row>
    <row r="79" spans="2:65" s="129" customFormat="1" ht="24">
      <c r="B79" s="182"/>
      <c r="C79" s="183" t="s">
        <v>295</v>
      </c>
      <c r="D79" s="183" t="s">
        <v>124</v>
      </c>
      <c r="E79" s="184" t="s">
        <v>296</v>
      </c>
      <c r="F79" s="185" t="s">
        <v>297</v>
      </c>
      <c r="G79" s="186" t="s">
        <v>150</v>
      </c>
      <c r="H79" s="187">
        <f>H91*1</f>
        <v>25.5</v>
      </c>
      <c r="I79" s="187">
        <v>33.25</v>
      </c>
      <c r="J79" s="187">
        <f>ROUND(I79*H79,4)</f>
        <v>847.875</v>
      </c>
      <c r="K79" s="188"/>
      <c r="L79" s="133"/>
      <c r="M79" s="189"/>
      <c r="N79" s="190" t="s">
        <v>132</v>
      </c>
      <c r="O79" s="191">
        <v>0.91</v>
      </c>
      <c r="P79" s="191">
        <f t="shared" ref="P79:P88" si="40">O79*H79</f>
        <v>23.205000000000002</v>
      </c>
      <c r="Q79" s="191">
        <v>0</v>
      </c>
      <c r="R79" s="191">
        <f t="shared" ref="R79:R88" si="41">Q79*H79</f>
        <v>0</v>
      </c>
      <c r="S79" s="191">
        <v>0</v>
      </c>
      <c r="T79" s="192">
        <f t="shared" ref="T79:T88" si="42">S79*H79</f>
        <v>0</v>
      </c>
      <c r="AR79" s="193" t="s">
        <v>50</v>
      </c>
      <c r="AT79" s="193" t="s">
        <v>124</v>
      </c>
      <c r="AU79" s="193" t="s">
        <v>44</v>
      </c>
      <c r="AY79" s="158" t="s">
        <v>122</v>
      </c>
      <c r="BE79" s="194">
        <f t="shared" ref="BE79:BE88" si="43">IF(N79="základná",J79,0)</f>
        <v>0</v>
      </c>
      <c r="BF79" s="194">
        <f t="shared" ref="BF79:BF88" si="44">IF(N79="znížená",J79,0)</f>
        <v>847.875</v>
      </c>
      <c r="BG79" s="194">
        <f t="shared" ref="BG79:BG88" si="45">IF(N79="zákl. prenesená",J79,0)</f>
        <v>0</v>
      </c>
      <c r="BH79" s="194">
        <f t="shared" ref="BH79:BH88" si="46">IF(N79="zníž. prenesená",J79,0)</f>
        <v>0</v>
      </c>
      <c r="BI79" s="194">
        <f t="shared" ref="BI79:BI88" si="47">IF(N79="nulová",J79,0)</f>
        <v>0</v>
      </c>
      <c r="BJ79" s="158" t="s">
        <v>38</v>
      </c>
      <c r="BK79" s="194">
        <f t="shared" ref="BK79:BK88" si="48">ROUND(I79*H79,2)</f>
        <v>847.88</v>
      </c>
      <c r="BL79" s="158" t="s">
        <v>50</v>
      </c>
      <c r="BM79" s="193" t="s">
        <v>298</v>
      </c>
    </row>
    <row r="80" spans="2:65" s="129" customFormat="1" ht="24">
      <c r="B80" s="182"/>
      <c r="C80" s="183" t="s">
        <v>219</v>
      </c>
      <c r="D80" s="183" t="s">
        <v>124</v>
      </c>
      <c r="E80" s="184" t="s">
        <v>299</v>
      </c>
      <c r="F80" s="185" t="s">
        <v>300</v>
      </c>
      <c r="G80" s="186" t="s">
        <v>150</v>
      </c>
      <c r="H80" s="187">
        <f>H79*6</f>
        <v>153</v>
      </c>
      <c r="I80" s="187">
        <v>1.04</v>
      </c>
      <c r="J80" s="187">
        <f t="shared" ref="J80:J93" si="49">ROUND(I80*H80,2)</f>
        <v>159.12</v>
      </c>
      <c r="K80" s="188"/>
      <c r="L80" s="133"/>
      <c r="M80" s="189"/>
      <c r="N80" s="190" t="s">
        <v>132</v>
      </c>
      <c r="O80" s="191">
        <v>2.9000000000000001E-2</v>
      </c>
      <c r="P80" s="191">
        <f t="shared" si="40"/>
        <v>4.4370000000000003</v>
      </c>
      <c r="Q80" s="191">
        <v>0</v>
      </c>
      <c r="R80" s="191">
        <f t="shared" si="41"/>
        <v>0</v>
      </c>
      <c r="S80" s="191">
        <v>0</v>
      </c>
      <c r="T80" s="192">
        <f t="shared" si="42"/>
        <v>0</v>
      </c>
      <c r="AR80" s="193" t="s">
        <v>50</v>
      </c>
      <c r="AT80" s="193" t="s">
        <v>124</v>
      </c>
      <c r="AU80" s="193" t="s">
        <v>44</v>
      </c>
      <c r="AY80" s="158" t="s">
        <v>122</v>
      </c>
      <c r="BE80" s="194">
        <f t="shared" si="43"/>
        <v>0</v>
      </c>
      <c r="BF80" s="194">
        <f t="shared" si="44"/>
        <v>159.12</v>
      </c>
      <c r="BG80" s="194">
        <f t="shared" si="45"/>
        <v>0</v>
      </c>
      <c r="BH80" s="194">
        <f t="shared" si="46"/>
        <v>0</v>
      </c>
      <c r="BI80" s="194">
        <f t="shared" si="47"/>
        <v>0</v>
      </c>
      <c r="BJ80" s="158" t="s">
        <v>38</v>
      </c>
      <c r="BK80" s="194">
        <f t="shared" si="48"/>
        <v>159.12</v>
      </c>
      <c r="BL80" s="158" t="s">
        <v>50</v>
      </c>
      <c r="BM80" s="193" t="s">
        <v>301</v>
      </c>
    </row>
    <row r="81" spans="2:65" s="129" customFormat="1" ht="12">
      <c r="B81" s="182"/>
      <c r="C81" s="183" t="s">
        <v>302</v>
      </c>
      <c r="D81" s="183" t="s">
        <v>124</v>
      </c>
      <c r="E81" s="184" t="s">
        <v>303</v>
      </c>
      <c r="F81" s="185" t="s">
        <v>304</v>
      </c>
      <c r="G81" s="186" t="s">
        <v>129</v>
      </c>
      <c r="H81" s="187">
        <f>6+6.2+6+6.5+5.5+5.5+12+18+6.5+6.5+5.75+7</f>
        <v>91.45</v>
      </c>
      <c r="I81" s="187">
        <v>82.12</v>
      </c>
      <c r="J81" s="187">
        <f>ROUND(I81*H81,3)</f>
        <v>7509.8739999999998</v>
      </c>
      <c r="K81" s="188"/>
      <c r="L81" s="133"/>
      <c r="M81" s="189"/>
      <c r="N81" s="190" t="s">
        <v>132</v>
      </c>
      <c r="O81" s="191">
        <v>0</v>
      </c>
      <c r="P81" s="191">
        <f t="shared" si="40"/>
        <v>0</v>
      </c>
      <c r="Q81" s="191">
        <v>0</v>
      </c>
      <c r="R81" s="191">
        <f t="shared" si="41"/>
        <v>0</v>
      </c>
      <c r="S81" s="191">
        <v>0</v>
      </c>
      <c r="T81" s="192">
        <f t="shared" si="42"/>
        <v>0</v>
      </c>
      <c r="AR81" s="193" t="s">
        <v>50</v>
      </c>
      <c r="AT81" s="193" t="s">
        <v>124</v>
      </c>
      <c r="AU81" s="193" t="s">
        <v>44</v>
      </c>
      <c r="AY81" s="158" t="s">
        <v>122</v>
      </c>
      <c r="BE81" s="194">
        <f t="shared" si="43"/>
        <v>0</v>
      </c>
      <c r="BF81" s="194">
        <f t="shared" si="44"/>
        <v>7509.8739999999998</v>
      </c>
      <c r="BG81" s="194">
        <f t="shared" si="45"/>
        <v>0</v>
      </c>
      <c r="BH81" s="194">
        <f t="shared" si="46"/>
        <v>0</v>
      </c>
      <c r="BI81" s="194">
        <f t="shared" si="47"/>
        <v>0</v>
      </c>
      <c r="BJ81" s="158" t="s">
        <v>38</v>
      </c>
      <c r="BK81" s="194">
        <f t="shared" si="48"/>
        <v>7509.87</v>
      </c>
      <c r="BL81" s="158" t="s">
        <v>50</v>
      </c>
      <c r="BM81" s="193" t="s">
        <v>305</v>
      </c>
    </row>
    <row r="82" spans="2:65" s="129" customFormat="1" ht="12">
      <c r="B82" s="182"/>
      <c r="C82" s="195" t="s">
        <v>222</v>
      </c>
      <c r="D82" s="195" t="s">
        <v>175</v>
      </c>
      <c r="E82" s="196" t="s">
        <v>306</v>
      </c>
      <c r="F82" s="197" t="s">
        <v>307</v>
      </c>
      <c r="G82" s="198" t="s">
        <v>257</v>
      </c>
      <c r="H82" s="199">
        <v>89</v>
      </c>
      <c r="I82" s="199">
        <v>41.4</v>
      </c>
      <c r="J82" s="199">
        <f t="shared" si="49"/>
        <v>3684.6</v>
      </c>
      <c r="K82" s="200"/>
      <c r="L82" s="201"/>
      <c r="M82" s="202"/>
      <c r="N82" s="203" t="s">
        <v>132</v>
      </c>
      <c r="O82" s="191">
        <v>0</v>
      </c>
      <c r="P82" s="191">
        <f t="shared" si="40"/>
        <v>0</v>
      </c>
      <c r="Q82" s="191">
        <v>0</v>
      </c>
      <c r="R82" s="191">
        <f t="shared" si="41"/>
        <v>0</v>
      </c>
      <c r="S82" s="191">
        <v>0</v>
      </c>
      <c r="T82" s="192">
        <f t="shared" si="42"/>
        <v>0</v>
      </c>
      <c r="AR82" s="193" t="s">
        <v>34</v>
      </c>
      <c r="AT82" s="193" t="s">
        <v>175</v>
      </c>
      <c r="AU82" s="193" t="s">
        <v>44</v>
      </c>
      <c r="AY82" s="158" t="s">
        <v>122</v>
      </c>
      <c r="BE82" s="194">
        <f t="shared" si="43"/>
        <v>0</v>
      </c>
      <c r="BF82" s="194">
        <f t="shared" si="44"/>
        <v>3684.6</v>
      </c>
      <c r="BG82" s="194">
        <f t="shared" si="45"/>
        <v>0</v>
      </c>
      <c r="BH82" s="194">
        <f t="shared" si="46"/>
        <v>0</v>
      </c>
      <c r="BI82" s="194">
        <f t="shared" si="47"/>
        <v>0</v>
      </c>
      <c r="BJ82" s="158" t="s">
        <v>38</v>
      </c>
      <c r="BK82" s="194">
        <f t="shared" si="48"/>
        <v>3684.6</v>
      </c>
      <c r="BL82" s="158" t="s">
        <v>50</v>
      </c>
      <c r="BM82" s="193" t="s">
        <v>308</v>
      </c>
    </row>
    <row r="83" spans="2:65" s="129" customFormat="1" ht="24">
      <c r="B83" s="182"/>
      <c r="C83" s="183" t="s">
        <v>309</v>
      </c>
      <c r="D83" s="183" t="s">
        <v>124</v>
      </c>
      <c r="E83" s="184" t="s">
        <v>310</v>
      </c>
      <c r="F83" s="185" t="s">
        <v>311</v>
      </c>
      <c r="G83" s="186" t="s">
        <v>150</v>
      </c>
      <c r="H83" s="187">
        <f>H81*1*0.1</f>
        <v>9.1450000000000014</v>
      </c>
      <c r="I83" s="187">
        <v>170.41</v>
      </c>
      <c r="J83" s="187">
        <f>ROUND(I83*H83,3)</f>
        <v>1558.3989999999999</v>
      </c>
      <c r="K83" s="188"/>
      <c r="L83" s="133"/>
      <c r="M83" s="189"/>
      <c r="N83" s="190" t="s">
        <v>132</v>
      </c>
      <c r="O83" s="191">
        <v>0</v>
      </c>
      <c r="P83" s="191">
        <f t="shared" si="40"/>
        <v>0</v>
      </c>
      <c r="Q83" s="191">
        <v>0</v>
      </c>
      <c r="R83" s="191">
        <f t="shared" si="41"/>
        <v>0</v>
      </c>
      <c r="S83" s="191">
        <v>0</v>
      </c>
      <c r="T83" s="192">
        <f t="shared" si="42"/>
        <v>0</v>
      </c>
      <c r="AR83" s="193" t="s">
        <v>50</v>
      </c>
      <c r="AT83" s="193" t="s">
        <v>124</v>
      </c>
      <c r="AU83" s="193" t="s">
        <v>44</v>
      </c>
      <c r="AY83" s="158" t="s">
        <v>122</v>
      </c>
      <c r="BE83" s="194">
        <f t="shared" si="43"/>
        <v>0</v>
      </c>
      <c r="BF83" s="194">
        <f t="shared" si="44"/>
        <v>1558.3989999999999</v>
      </c>
      <c r="BG83" s="194">
        <f t="shared" si="45"/>
        <v>0</v>
      </c>
      <c r="BH83" s="194">
        <f t="shared" si="46"/>
        <v>0</v>
      </c>
      <c r="BI83" s="194">
        <f t="shared" si="47"/>
        <v>0</v>
      </c>
      <c r="BJ83" s="158" t="s">
        <v>38</v>
      </c>
      <c r="BK83" s="194">
        <f t="shared" si="48"/>
        <v>1558.4</v>
      </c>
      <c r="BL83" s="158" t="s">
        <v>50</v>
      </c>
      <c r="BM83" s="193" t="s">
        <v>312</v>
      </c>
    </row>
    <row r="84" spans="2:65" s="129" customFormat="1" ht="12">
      <c r="B84" s="182"/>
      <c r="C84" s="195" t="s">
        <v>313</v>
      </c>
      <c r="D84" s="195" t="s">
        <v>175</v>
      </c>
      <c r="E84" s="196" t="s">
        <v>314</v>
      </c>
      <c r="F84" s="197" t="s">
        <v>315</v>
      </c>
      <c r="G84" s="198" t="s">
        <v>257</v>
      </c>
      <c r="H84" s="199">
        <f>H85*1.025</f>
        <v>3024.2624999999998</v>
      </c>
      <c r="I84" s="199">
        <v>51.1</v>
      </c>
      <c r="J84" s="199">
        <f>ROUND(I84*H84,3)</f>
        <v>154539.81400000001</v>
      </c>
      <c r="K84" s="200"/>
      <c r="L84" s="201"/>
      <c r="M84" s="202"/>
      <c r="N84" s="203" t="s">
        <v>132</v>
      </c>
      <c r="O84" s="191">
        <v>0</v>
      </c>
      <c r="P84" s="191">
        <f t="shared" si="40"/>
        <v>0</v>
      </c>
      <c r="Q84" s="191">
        <v>0</v>
      </c>
      <c r="R84" s="191">
        <f t="shared" si="41"/>
        <v>0</v>
      </c>
      <c r="S84" s="191">
        <v>0</v>
      </c>
      <c r="T84" s="192">
        <f t="shared" si="42"/>
        <v>0</v>
      </c>
      <c r="AR84" s="193" t="s">
        <v>34</v>
      </c>
      <c r="AT84" s="193" t="s">
        <v>175</v>
      </c>
      <c r="AU84" s="193" t="s">
        <v>44</v>
      </c>
      <c r="AY84" s="158" t="s">
        <v>122</v>
      </c>
      <c r="BE84" s="194">
        <f t="shared" si="43"/>
        <v>0</v>
      </c>
      <c r="BF84" s="194">
        <f t="shared" si="44"/>
        <v>154539.81400000001</v>
      </c>
      <c r="BG84" s="194">
        <f t="shared" si="45"/>
        <v>0</v>
      </c>
      <c r="BH84" s="194">
        <f t="shared" si="46"/>
        <v>0</v>
      </c>
      <c r="BI84" s="194">
        <f t="shared" si="47"/>
        <v>0</v>
      </c>
      <c r="BJ84" s="158" t="s">
        <v>38</v>
      </c>
      <c r="BK84" s="194">
        <f t="shared" si="48"/>
        <v>154539.81</v>
      </c>
      <c r="BL84" s="158" t="s">
        <v>50</v>
      </c>
      <c r="BM84" s="193" t="s">
        <v>316</v>
      </c>
    </row>
    <row r="85" spans="2:65" s="129" customFormat="1" ht="24">
      <c r="B85" s="182"/>
      <c r="C85" s="183" t="s">
        <v>227</v>
      </c>
      <c r="D85" s="183" t="s">
        <v>124</v>
      </c>
      <c r="E85" s="184" t="s">
        <v>317</v>
      </c>
      <c r="F85" s="185" t="s">
        <v>318</v>
      </c>
      <c r="G85" s="186" t="s">
        <v>129</v>
      </c>
      <c r="H85" s="187">
        <f>25+948+311+9+105+401+11.5+596+544</f>
        <v>2950.5</v>
      </c>
      <c r="I85" s="187">
        <v>17.57</v>
      </c>
      <c r="J85" s="187">
        <f>ROUND(I85*H85,3)</f>
        <v>51840.285000000003</v>
      </c>
      <c r="K85" s="188"/>
      <c r="L85" s="133"/>
      <c r="M85" s="189"/>
      <c r="N85" s="190" t="s">
        <v>132</v>
      </c>
      <c r="O85" s="191">
        <v>0</v>
      </c>
      <c r="P85" s="191">
        <f t="shared" si="40"/>
        <v>0</v>
      </c>
      <c r="Q85" s="191">
        <v>0</v>
      </c>
      <c r="R85" s="191">
        <f t="shared" si="41"/>
        <v>0</v>
      </c>
      <c r="S85" s="191">
        <v>0</v>
      </c>
      <c r="T85" s="192">
        <f t="shared" si="42"/>
        <v>0</v>
      </c>
      <c r="AR85" s="193" t="s">
        <v>50</v>
      </c>
      <c r="AT85" s="193" t="s">
        <v>124</v>
      </c>
      <c r="AU85" s="193" t="s">
        <v>44</v>
      </c>
      <c r="AY85" s="158" t="s">
        <v>122</v>
      </c>
      <c r="BE85" s="194">
        <f t="shared" si="43"/>
        <v>0</v>
      </c>
      <c r="BF85" s="194">
        <f t="shared" si="44"/>
        <v>51840.285000000003</v>
      </c>
      <c r="BG85" s="194">
        <f t="shared" si="45"/>
        <v>0</v>
      </c>
      <c r="BH85" s="194">
        <f t="shared" si="46"/>
        <v>0</v>
      </c>
      <c r="BI85" s="194">
        <f t="shared" si="47"/>
        <v>0</v>
      </c>
      <c r="BJ85" s="158" t="s">
        <v>38</v>
      </c>
      <c r="BK85" s="194">
        <f t="shared" si="48"/>
        <v>51840.29</v>
      </c>
      <c r="BL85" s="158" t="s">
        <v>50</v>
      </c>
      <c r="BM85" s="193" t="s">
        <v>319</v>
      </c>
    </row>
    <row r="86" spans="2:65" s="129" customFormat="1" ht="24">
      <c r="B86" s="182"/>
      <c r="C86" s="183" t="s">
        <v>239</v>
      </c>
      <c r="D86" s="183" t="s">
        <v>124</v>
      </c>
      <c r="E86" s="184" t="s">
        <v>320</v>
      </c>
      <c r="F86" s="185" t="s">
        <v>321</v>
      </c>
      <c r="G86" s="186" t="s">
        <v>150</v>
      </c>
      <c r="H86" s="187">
        <f>0.24*H85</f>
        <v>708.12</v>
      </c>
      <c r="I86" s="187">
        <v>123.78</v>
      </c>
      <c r="J86" s="187">
        <f>ROUND(I86*H86,3)</f>
        <v>87651.093999999997</v>
      </c>
      <c r="K86" s="188"/>
      <c r="L86" s="133"/>
      <c r="M86" s="189"/>
      <c r="N86" s="190" t="s">
        <v>132</v>
      </c>
      <c r="O86" s="191">
        <v>0</v>
      </c>
      <c r="P86" s="191">
        <f t="shared" si="40"/>
        <v>0</v>
      </c>
      <c r="Q86" s="191">
        <v>0</v>
      </c>
      <c r="R86" s="191">
        <f t="shared" si="41"/>
        <v>0</v>
      </c>
      <c r="S86" s="191">
        <v>0</v>
      </c>
      <c r="T86" s="192">
        <f t="shared" si="42"/>
        <v>0</v>
      </c>
      <c r="AR86" s="193" t="s">
        <v>50</v>
      </c>
      <c r="AT86" s="193" t="s">
        <v>124</v>
      </c>
      <c r="AU86" s="193" t="s">
        <v>44</v>
      </c>
      <c r="AY86" s="158" t="s">
        <v>122</v>
      </c>
      <c r="BE86" s="194">
        <f t="shared" si="43"/>
        <v>0</v>
      </c>
      <c r="BF86" s="194">
        <f t="shared" si="44"/>
        <v>87651.093999999997</v>
      </c>
      <c r="BG86" s="194">
        <f t="shared" si="45"/>
        <v>0</v>
      </c>
      <c r="BH86" s="194">
        <f t="shared" si="46"/>
        <v>0</v>
      </c>
      <c r="BI86" s="194">
        <f t="shared" si="47"/>
        <v>0</v>
      </c>
      <c r="BJ86" s="158" t="s">
        <v>38</v>
      </c>
      <c r="BK86" s="194">
        <f t="shared" si="48"/>
        <v>87651.09</v>
      </c>
      <c r="BL86" s="158" t="s">
        <v>50</v>
      </c>
      <c r="BM86" s="193" t="s">
        <v>322</v>
      </c>
    </row>
    <row r="87" spans="2:65" s="129" customFormat="1" ht="36">
      <c r="B87" s="182"/>
      <c r="C87" s="183" t="s">
        <v>323</v>
      </c>
      <c r="D87" s="183" t="s">
        <v>124</v>
      </c>
      <c r="E87" s="184" t="s">
        <v>324</v>
      </c>
      <c r="F87" s="185" t="s">
        <v>325</v>
      </c>
      <c r="G87" s="186" t="s">
        <v>127</v>
      </c>
      <c r="H87" s="187">
        <f>H60-H59</f>
        <v>8008</v>
      </c>
      <c r="I87" s="187">
        <v>0.06</v>
      </c>
      <c r="J87" s="187">
        <f t="shared" si="49"/>
        <v>480.48</v>
      </c>
      <c r="K87" s="188"/>
      <c r="L87" s="133"/>
      <c r="M87" s="189"/>
      <c r="N87" s="190" t="s">
        <v>132</v>
      </c>
      <c r="O87" s="191">
        <v>0</v>
      </c>
      <c r="P87" s="191">
        <f t="shared" si="40"/>
        <v>0</v>
      </c>
      <c r="Q87" s="191">
        <v>0</v>
      </c>
      <c r="R87" s="191">
        <f t="shared" si="41"/>
        <v>0</v>
      </c>
      <c r="S87" s="191">
        <v>0</v>
      </c>
      <c r="T87" s="192">
        <f t="shared" si="42"/>
        <v>0</v>
      </c>
      <c r="AR87" s="193" t="s">
        <v>50</v>
      </c>
      <c r="AT87" s="193" t="s">
        <v>124</v>
      </c>
      <c r="AU87" s="193" t="s">
        <v>44</v>
      </c>
      <c r="AY87" s="158" t="s">
        <v>122</v>
      </c>
      <c r="BE87" s="194">
        <f t="shared" si="43"/>
        <v>0</v>
      </c>
      <c r="BF87" s="194">
        <f t="shared" si="44"/>
        <v>480.48</v>
      </c>
      <c r="BG87" s="194">
        <f t="shared" si="45"/>
        <v>0</v>
      </c>
      <c r="BH87" s="194">
        <f t="shared" si="46"/>
        <v>0</v>
      </c>
      <c r="BI87" s="194">
        <f t="shared" si="47"/>
        <v>0</v>
      </c>
      <c r="BJ87" s="158" t="s">
        <v>38</v>
      </c>
      <c r="BK87" s="194">
        <f t="shared" si="48"/>
        <v>480.48</v>
      </c>
      <c r="BL87" s="158" t="s">
        <v>50</v>
      </c>
      <c r="BM87" s="193" t="s">
        <v>326</v>
      </c>
    </row>
    <row r="88" spans="2:65" s="129" customFormat="1" ht="24">
      <c r="B88" s="182"/>
      <c r="C88" s="183" t="s">
        <v>232</v>
      </c>
      <c r="D88" s="183" t="s">
        <v>124</v>
      </c>
      <c r="E88" s="184" t="s">
        <v>327</v>
      </c>
      <c r="F88" s="185" t="s">
        <v>328</v>
      </c>
      <c r="G88" s="186" t="s">
        <v>127</v>
      </c>
      <c r="H88" s="187">
        <v>2552</v>
      </c>
      <c r="I88" s="187">
        <v>4.24</v>
      </c>
      <c r="J88" s="187">
        <f t="shared" si="49"/>
        <v>10820.48</v>
      </c>
      <c r="K88" s="188"/>
      <c r="L88" s="133"/>
      <c r="M88" s="189"/>
      <c r="N88" s="190" t="s">
        <v>132</v>
      </c>
      <c r="O88" s="191">
        <v>0</v>
      </c>
      <c r="P88" s="191">
        <f t="shared" si="40"/>
        <v>0</v>
      </c>
      <c r="Q88" s="191">
        <v>0</v>
      </c>
      <c r="R88" s="191">
        <f t="shared" si="41"/>
        <v>0</v>
      </c>
      <c r="S88" s="191">
        <v>0</v>
      </c>
      <c r="T88" s="192">
        <f t="shared" si="42"/>
        <v>0</v>
      </c>
      <c r="AR88" s="193" t="s">
        <v>50</v>
      </c>
      <c r="AT88" s="193" t="s">
        <v>124</v>
      </c>
      <c r="AU88" s="193" t="s">
        <v>44</v>
      </c>
      <c r="AY88" s="158" t="s">
        <v>122</v>
      </c>
      <c r="BE88" s="194">
        <f t="shared" si="43"/>
        <v>0</v>
      </c>
      <c r="BF88" s="194">
        <f t="shared" si="44"/>
        <v>10820.48</v>
      </c>
      <c r="BG88" s="194">
        <f t="shared" si="45"/>
        <v>0</v>
      </c>
      <c r="BH88" s="194">
        <f t="shared" si="46"/>
        <v>0</v>
      </c>
      <c r="BI88" s="194">
        <f t="shared" si="47"/>
        <v>0</v>
      </c>
      <c r="BJ88" s="158" t="s">
        <v>38</v>
      </c>
      <c r="BK88" s="194">
        <f t="shared" si="48"/>
        <v>10820.48</v>
      </c>
      <c r="BL88" s="158" t="s">
        <v>50</v>
      </c>
      <c r="BM88" s="193" t="s">
        <v>329</v>
      </c>
    </row>
    <row r="89" spans="2:65" s="129" customFormat="1" ht="12">
      <c r="B89" s="182"/>
      <c r="C89" s="183"/>
      <c r="D89" s="183"/>
      <c r="E89" s="184"/>
      <c r="F89" s="185" t="s">
        <v>330</v>
      </c>
      <c r="G89" s="186" t="s">
        <v>129</v>
      </c>
      <c r="H89" s="187">
        <f>597+184+357</f>
        <v>1138</v>
      </c>
      <c r="I89" s="187">
        <v>0.31</v>
      </c>
      <c r="J89" s="187">
        <f t="shared" si="49"/>
        <v>352.78</v>
      </c>
      <c r="K89" s="188"/>
      <c r="L89" s="133"/>
      <c r="M89" s="189"/>
      <c r="N89" s="190"/>
      <c r="O89" s="191"/>
      <c r="P89" s="191"/>
      <c r="Q89" s="191"/>
      <c r="R89" s="191"/>
      <c r="S89" s="191"/>
      <c r="T89" s="192"/>
      <c r="AR89" s="193"/>
      <c r="AT89" s="193"/>
      <c r="AU89" s="193"/>
      <c r="AY89" s="158"/>
      <c r="BE89" s="194"/>
      <c r="BF89" s="194"/>
      <c r="BG89" s="194"/>
      <c r="BH89" s="194"/>
      <c r="BI89" s="194"/>
      <c r="BJ89" s="158"/>
      <c r="BK89" s="194"/>
      <c r="BL89" s="158"/>
      <c r="BM89" s="193"/>
    </row>
    <row r="90" spans="2:65" s="129" customFormat="1" ht="36">
      <c r="B90" s="182"/>
      <c r="C90" s="183" t="s">
        <v>331</v>
      </c>
      <c r="D90" s="183" t="s">
        <v>124</v>
      </c>
      <c r="E90" s="184" t="s">
        <v>332</v>
      </c>
      <c r="F90" s="185" t="s">
        <v>333</v>
      </c>
      <c r="G90" s="186" t="s">
        <v>129</v>
      </c>
      <c r="H90" s="187">
        <f>2*H88-H85</f>
        <v>2153.5</v>
      </c>
      <c r="I90" s="187">
        <v>2.13</v>
      </c>
      <c r="J90" s="187">
        <f>ROUND(I90*H90,3)</f>
        <v>4586.9549999999999</v>
      </c>
      <c r="K90" s="188"/>
      <c r="L90" s="133"/>
      <c r="M90" s="189"/>
      <c r="N90" s="190" t="s">
        <v>132</v>
      </c>
      <c r="O90" s="191">
        <v>0</v>
      </c>
      <c r="P90" s="191">
        <f>O90*H90</f>
        <v>0</v>
      </c>
      <c r="Q90" s="191">
        <v>0</v>
      </c>
      <c r="R90" s="191">
        <f>Q90*H90</f>
        <v>0</v>
      </c>
      <c r="S90" s="191">
        <v>0</v>
      </c>
      <c r="T90" s="192">
        <f>S90*H90</f>
        <v>0</v>
      </c>
      <c r="AR90" s="193" t="s">
        <v>50</v>
      </c>
      <c r="AT90" s="193" t="s">
        <v>124</v>
      </c>
      <c r="AU90" s="193" t="s">
        <v>44</v>
      </c>
      <c r="AY90" s="158" t="s">
        <v>122</v>
      </c>
      <c r="BE90" s="194">
        <f>IF(N90="základná",J90,0)</f>
        <v>0</v>
      </c>
      <c r="BF90" s="194">
        <f>IF(N90="znížená",J90,0)</f>
        <v>4586.9549999999999</v>
      </c>
      <c r="BG90" s="194">
        <f>IF(N90="zákl. prenesená",J90,0)</f>
        <v>0</v>
      </c>
      <c r="BH90" s="194">
        <f>IF(N90="zníž. prenesená",J90,0)</f>
        <v>0</v>
      </c>
      <c r="BI90" s="194">
        <f>IF(N90="nulová",J90,0)</f>
        <v>0</v>
      </c>
      <c r="BJ90" s="158" t="s">
        <v>38</v>
      </c>
      <c r="BK90" s="194">
        <f>ROUND(I90*H90,2)</f>
        <v>4586.96</v>
      </c>
      <c r="BL90" s="158" t="s">
        <v>50</v>
      </c>
      <c r="BM90" s="193" t="s">
        <v>334</v>
      </c>
    </row>
    <row r="91" spans="2:65" s="129" customFormat="1" ht="24">
      <c r="B91" s="182"/>
      <c r="C91" s="183" t="s">
        <v>230</v>
      </c>
      <c r="D91" s="183" t="s">
        <v>124</v>
      </c>
      <c r="E91" s="184" t="s">
        <v>335</v>
      </c>
      <c r="F91" s="185" t="s">
        <v>336</v>
      </c>
      <c r="G91" s="186" t="s">
        <v>129</v>
      </c>
      <c r="H91" s="187">
        <f>10.5+7.5+7.5</f>
        <v>25.5</v>
      </c>
      <c r="I91" s="187">
        <v>3.58</v>
      </c>
      <c r="J91" s="187">
        <f t="shared" si="49"/>
        <v>91.29</v>
      </c>
      <c r="K91" s="188"/>
      <c r="L91" s="133"/>
      <c r="M91" s="189"/>
      <c r="N91" s="190" t="s">
        <v>132</v>
      </c>
      <c r="O91" s="191">
        <v>0</v>
      </c>
      <c r="P91" s="191">
        <f>O91*H91</f>
        <v>0</v>
      </c>
      <c r="Q91" s="191">
        <v>0</v>
      </c>
      <c r="R91" s="191">
        <f>Q91*H91</f>
        <v>0</v>
      </c>
      <c r="S91" s="191">
        <v>0</v>
      </c>
      <c r="T91" s="192">
        <f>S91*H91</f>
        <v>0</v>
      </c>
      <c r="AR91" s="193" t="s">
        <v>50</v>
      </c>
      <c r="AT91" s="193" t="s">
        <v>124</v>
      </c>
      <c r="AU91" s="193" t="s">
        <v>44</v>
      </c>
      <c r="AY91" s="158" t="s">
        <v>122</v>
      </c>
      <c r="BE91" s="194">
        <f>IF(N91="základná",J91,0)</f>
        <v>0</v>
      </c>
      <c r="BF91" s="194">
        <f>IF(N91="znížená",J91,0)</f>
        <v>91.29</v>
      </c>
      <c r="BG91" s="194">
        <f>IF(N91="zákl. prenesená",J91,0)</f>
        <v>0</v>
      </c>
      <c r="BH91" s="194">
        <f>IF(N91="zníž. prenesená",J91,0)</f>
        <v>0</v>
      </c>
      <c r="BI91" s="194">
        <f>IF(N91="nulová",J91,0)</f>
        <v>0</v>
      </c>
      <c r="BJ91" s="158" t="s">
        <v>38</v>
      </c>
      <c r="BK91" s="194">
        <f>ROUND(I91*H91,2)</f>
        <v>91.29</v>
      </c>
      <c r="BL91" s="158" t="s">
        <v>50</v>
      </c>
      <c r="BM91" s="193" t="s">
        <v>337</v>
      </c>
    </row>
    <row r="92" spans="2:65" s="129" customFormat="1" ht="24">
      <c r="B92" s="182"/>
      <c r="C92" s="183" t="s">
        <v>338</v>
      </c>
      <c r="D92" s="183" t="s">
        <v>124</v>
      </c>
      <c r="E92" s="184" t="s">
        <v>339</v>
      </c>
      <c r="F92" s="185" t="s">
        <v>340</v>
      </c>
      <c r="G92" s="186" t="s">
        <v>129</v>
      </c>
      <c r="H92" s="187">
        <v>2.5</v>
      </c>
      <c r="I92" s="187">
        <v>2.38</v>
      </c>
      <c r="J92" s="187">
        <f t="shared" si="49"/>
        <v>5.95</v>
      </c>
      <c r="K92" s="188"/>
      <c r="L92" s="133"/>
      <c r="M92" s="189"/>
      <c r="N92" s="190" t="s">
        <v>132</v>
      </c>
      <c r="O92" s="191">
        <v>0</v>
      </c>
      <c r="P92" s="191">
        <f>O92*H92</f>
        <v>0</v>
      </c>
      <c r="Q92" s="191">
        <v>0</v>
      </c>
      <c r="R92" s="191">
        <f>Q92*H92</f>
        <v>0</v>
      </c>
      <c r="S92" s="191">
        <v>0</v>
      </c>
      <c r="T92" s="192">
        <f>S92*H92</f>
        <v>0</v>
      </c>
      <c r="AR92" s="193" t="s">
        <v>50</v>
      </c>
      <c r="AT92" s="193" t="s">
        <v>124</v>
      </c>
      <c r="AU92" s="193" t="s">
        <v>44</v>
      </c>
      <c r="AY92" s="158" t="s">
        <v>122</v>
      </c>
      <c r="BE92" s="194">
        <f>IF(N92="základná",J92,0)</f>
        <v>0</v>
      </c>
      <c r="BF92" s="194">
        <f>IF(N92="znížená",J92,0)</f>
        <v>5.95</v>
      </c>
      <c r="BG92" s="194">
        <f>IF(N92="zákl. prenesená",J92,0)</f>
        <v>0</v>
      </c>
      <c r="BH92" s="194">
        <f>IF(N92="zníž. prenesená",J92,0)</f>
        <v>0</v>
      </c>
      <c r="BI92" s="194">
        <f>IF(N92="nulová",J92,0)</f>
        <v>0</v>
      </c>
      <c r="BJ92" s="158" t="s">
        <v>38</v>
      </c>
      <c r="BK92" s="194">
        <f>ROUND(I92*H92,2)</f>
        <v>5.95</v>
      </c>
      <c r="BL92" s="158" t="s">
        <v>50</v>
      </c>
      <c r="BM92" s="193" t="s">
        <v>341</v>
      </c>
    </row>
    <row r="93" spans="2:65" s="129" customFormat="1" ht="12">
      <c r="B93" s="182"/>
      <c r="C93" s="183"/>
      <c r="D93" s="183"/>
      <c r="E93" s="184" t="s">
        <v>342</v>
      </c>
      <c r="F93" s="185" t="s">
        <v>343</v>
      </c>
      <c r="G93" s="186" t="s">
        <v>127</v>
      </c>
      <c r="H93" s="187">
        <v>9009</v>
      </c>
      <c r="I93" s="187">
        <v>0.22</v>
      </c>
      <c r="J93" s="187">
        <f t="shared" si="49"/>
        <v>1981.98</v>
      </c>
      <c r="K93" s="188"/>
      <c r="L93" s="133"/>
      <c r="M93" s="189"/>
      <c r="N93" s="190"/>
      <c r="O93" s="191"/>
      <c r="P93" s="191"/>
      <c r="Q93" s="191"/>
      <c r="R93" s="191"/>
      <c r="S93" s="191"/>
      <c r="T93" s="192"/>
      <c r="AR93" s="193"/>
      <c r="AT93" s="193"/>
      <c r="AU93" s="193"/>
      <c r="AY93" s="158"/>
      <c r="BE93" s="194"/>
      <c r="BF93" s="194"/>
      <c r="BG93" s="194"/>
      <c r="BH93" s="194"/>
      <c r="BI93" s="194"/>
      <c r="BJ93" s="158"/>
      <c r="BK93" s="194"/>
      <c r="BL93" s="158"/>
      <c r="BM93" s="193"/>
    </row>
    <row r="94" spans="2:65" s="129" customFormat="1" ht="12">
      <c r="B94" s="182"/>
      <c r="C94" s="183"/>
      <c r="D94" s="183"/>
      <c r="E94" s="184" t="s">
        <v>344</v>
      </c>
      <c r="F94" s="185" t="s">
        <v>345</v>
      </c>
      <c r="G94" s="186" t="s">
        <v>346</v>
      </c>
      <c r="H94" s="187">
        <v>1</v>
      </c>
      <c r="I94" s="187">
        <v>500</v>
      </c>
      <c r="J94" s="187">
        <f>I94*H94</f>
        <v>500</v>
      </c>
      <c r="K94" s="188"/>
      <c r="L94" s="133"/>
      <c r="M94" s="189"/>
      <c r="N94" s="190"/>
      <c r="O94" s="191"/>
      <c r="P94" s="191"/>
      <c r="Q94" s="191"/>
      <c r="R94" s="191"/>
      <c r="S94" s="191"/>
      <c r="T94" s="192"/>
      <c r="AR94" s="193"/>
      <c r="AT94" s="193"/>
      <c r="AU94" s="193"/>
      <c r="AY94" s="158"/>
      <c r="BE94" s="194"/>
      <c r="BF94" s="194"/>
      <c r="BG94" s="194"/>
      <c r="BH94" s="194"/>
      <c r="BI94" s="194"/>
      <c r="BJ94" s="158"/>
      <c r="BK94" s="194"/>
      <c r="BL94" s="158"/>
      <c r="BM94" s="193"/>
    </row>
    <row r="95" spans="2:65" s="171" customFormat="1" ht="12.75">
      <c r="B95" s="172"/>
      <c r="D95" s="173" t="s">
        <v>73</v>
      </c>
      <c r="E95" s="174" t="s">
        <v>347</v>
      </c>
      <c r="F95" s="174" t="s">
        <v>348</v>
      </c>
      <c r="H95" s="175"/>
      <c r="I95" s="175"/>
      <c r="J95" s="176">
        <f>SUM(J96)</f>
        <v>10104.548000000001</v>
      </c>
      <c r="L95" s="172"/>
      <c r="M95" s="177"/>
      <c r="P95" s="178">
        <f>SUM(P96:P96)</f>
        <v>159.28351999999998</v>
      </c>
      <c r="R95" s="178">
        <f>SUM(R96:R96)</f>
        <v>0</v>
      </c>
      <c r="T95" s="179">
        <f>SUM(T96:T96)</f>
        <v>0</v>
      </c>
      <c r="V95" s="175"/>
      <c r="AR95" s="173" t="s">
        <v>31</v>
      </c>
      <c r="AT95" s="180" t="s">
        <v>73</v>
      </c>
      <c r="AU95" s="180" t="s">
        <v>31</v>
      </c>
      <c r="AY95" s="173" t="s">
        <v>122</v>
      </c>
      <c r="BK95" s="181">
        <f>SUM(BK96:BK96)</f>
        <v>10104.549999999999</v>
      </c>
    </row>
    <row r="96" spans="2:65" s="129" customFormat="1" ht="24">
      <c r="B96" s="182"/>
      <c r="C96" s="183" t="s">
        <v>349</v>
      </c>
      <c r="D96" s="183" t="s">
        <v>124</v>
      </c>
      <c r="E96" s="184" t="s">
        <v>350</v>
      </c>
      <c r="F96" s="185" t="s">
        <v>351</v>
      </c>
      <c r="G96" s="186" t="s">
        <v>167</v>
      </c>
      <c r="H96" s="187">
        <f>((H60*0.12*2.5)+(H59*0.18)+(2*(H58*0.25+H57*0.4+H56*0.1)))</f>
        <v>4977.6099999999997</v>
      </c>
      <c r="I96" s="187">
        <v>2.0299999999999998</v>
      </c>
      <c r="J96" s="187">
        <f>ROUND(I96*H96,3)</f>
        <v>10104.548000000001</v>
      </c>
      <c r="K96" s="188"/>
      <c r="L96" s="133"/>
      <c r="M96" s="189"/>
      <c r="N96" s="190" t="s">
        <v>132</v>
      </c>
      <c r="O96" s="191">
        <v>3.2000000000000001E-2</v>
      </c>
      <c r="P96" s="191">
        <f>O96*H96</f>
        <v>159.28351999999998</v>
      </c>
      <c r="Q96" s="191">
        <v>0</v>
      </c>
      <c r="R96" s="191">
        <f>Q96*H96</f>
        <v>0</v>
      </c>
      <c r="S96" s="191">
        <v>0</v>
      </c>
      <c r="T96" s="192">
        <f>S96*H96</f>
        <v>0</v>
      </c>
      <c r="AR96" s="193" t="s">
        <v>50</v>
      </c>
      <c r="AT96" s="193" t="s">
        <v>124</v>
      </c>
      <c r="AU96" s="193" t="s">
        <v>38</v>
      </c>
      <c r="AY96" s="158" t="s">
        <v>122</v>
      </c>
      <c r="BE96" s="194">
        <f>IF(N96="základná",J96,0)</f>
        <v>0</v>
      </c>
      <c r="BF96" s="194">
        <f>IF(N96="znížená",J96,0)</f>
        <v>10104.548000000001</v>
      </c>
      <c r="BG96" s="194">
        <f>IF(N96="zákl. prenesená",J96,0)</f>
        <v>0</v>
      </c>
      <c r="BH96" s="194">
        <f>IF(N96="zníž. prenesená",J96,0)</f>
        <v>0</v>
      </c>
      <c r="BI96" s="194">
        <f>IF(N96="nulová",J96,0)</f>
        <v>0</v>
      </c>
      <c r="BJ96" s="158" t="s">
        <v>38</v>
      </c>
      <c r="BK96" s="194">
        <f>ROUND(I96*H96,2)</f>
        <v>10104.549999999999</v>
      </c>
      <c r="BL96" s="158" t="s">
        <v>50</v>
      </c>
      <c r="BM96" s="193" t="s">
        <v>352</v>
      </c>
    </row>
    <row r="97" spans="2:65" s="160" customFormat="1" ht="15.75">
      <c r="B97" s="161"/>
      <c r="D97" s="162" t="s">
        <v>73</v>
      </c>
      <c r="E97" s="163" t="s">
        <v>45</v>
      </c>
      <c r="F97" s="163" t="s">
        <v>353</v>
      </c>
      <c r="H97" s="164"/>
      <c r="I97" s="164"/>
      <c r="J97" s="165">
        <f>ROUND(J98,2)</f>
        <v>1008.39</v>
      </c>
      <c r="L97" s="161"/>
      <c r="M97" s="166"/>
      <c r="P97" s="167">
        <f>P98</f>
        <v>0</v>
      </c>
      <c r="R97" s="167">
        <f>R98</f>
        <v>0</v>
      </c>
      <c r="T97" s="168">
        <f>T98</f>
        <v>0</v>
      </c>
      <c r="AR97" s="162" t="s">
        <v>38</v>
      </c>
      <c r="AT97" s="169" t="s">
        <v>73</v>
      </c>
      <c r="AU97" s="169" t="s">
        <v>121</v>
      </c>
      <c r="AY97" s="162" t="s">
        <v>122</v>
      </c>
      <c r="BK97" s="170">
        <f>BK98</f>
        <v>1008.3900000000001</v>
      </c>
    </row>
    <row r="98" spans="2:65" s="171" customFormat="1" ht="12.75">
      <c r="B98" s="172"/>
      <c r="D98" s="173" t="s">
        <v>73</v>
      </c>
      <c r="E98" s="174" t="s">
        <v>354</v>
      </c>
      <c r="F98" s="174" t="s">
        <v>355</v>
      </c>
      <c r="H98" s="175"/>
      <c r="I98" s="175"/>
      <c r="J98" s="176">
        <f>SUM(J99:J104)</f>
        <v>1008.3939</v>
      </c>
      <c r="L98" s="172"/>
      <c r="M98" s="177"/>
      <c r="P98" s="178">
        <f>SUM(P99:P104)</f>
        <v>0</v>
      </c>
      <c r="R98" s="178">
        <f>SUM(R99:R104)</f>
        <v>0</v>
      </c>
      <c r="T98" s="179">
        <f>SUM(T99:T104)</f>
        <v>0</v>
      </c>
      <c r="V98" s="175"/>
      <c r="AR98" s="173" t="s">
        <v>38</v>
      </c>
      <c r="AT98" s="180" t="s">
        <v>73</v>
      </c>
      <c r="AU98" s="180" t="s">
        <v>31</v>
      </c>
      <c r="AY98" s="173" t="s">
        <v>122</v>
      </c>
      <c r="BK98" s="181">
        <f>SUM(BK99:BK104)</f>
        <v>1008.3900000000001</v>
      </c>
    </row>
    <row r="99" spans="2:65" s="129" customFormat="1" ht="24">
      <c r="B99" s="182"/>
      <c r="C99" s="183" t="s">
        <v>246</v>
      </c>
      <c r="D99" s="183" t="s">
        <v>124</v>
      </c>
      <c r="E99" s="184" t="s">
        <v>356</v>
      </c>
      <c r="F99" s="185" t="s">
        <v>357</v>
      </c>
      <c r="G99" s="186" t="s">
        <v>127</v>
      </c>
      <c r="H99" s="187">
        <f>(H77*1*(4*1.32))+H71*2.5+(H43/0.2)</f>
        <v>115.68</v>
      </c>
      <c r="I99" s="187">
        <v>0.35</v>
      </c>
      <c r="J99" s="187">
        <f>ROUND(I99*H99,5)</f>
        <v>40.488</v>
      </c>
      <c r="K99" s="188"/>
      <c r="L99" s="133"/>
      <c r="M99" s="189"/>
      <c r="N99" s="190" t="s">
        <v>132</v>
      </c>
      <c r="O99" s="191">
        <v>0</v>
      </c>
      <c r="P99" s="191">
        <f t="shared" ref="P99:P104" si="50">O99*H99</f>
        <v>0</v>
      </c>
      <c r="Q99" s="191">
        <v>0</v>
      </c>
      <c r="R99" s="191">
        <f t="shared" ref="R99:R104" si="51">Q99*H99</f>
        <v>0</v>
      </c>
      <c r="S99" s="191">
        <v>0</v>
      </c>
      <c r="T99" s="192">
        <f t="shared" ref="T99:T104" si="52">S99*H99</f>
        <v>0</v>
      </c>
      <c r="AR99" s="193" t="s">
        <v>52</v>
      </c>
      <c r="AT99" s="193" t="s">
        <v>124</v>
      </c>
      <c r="AU99" s="193" t="s">
        <v>38</v>
      </c>
      <c r="AY99" s="158" t="s">
        <v>122</v>
      </c>
      <c r="BE99" s="194">
        <f t="shared" ref="BE99:BE104" si="53">IF(N99="základná",J99,0)</f>
        <v>0</v>
      </c>
      <c r="BF99" s="194">
        <f t="shared" ref="BF99:BF104" si="54">IF(N99="znížená",J99,0)</f>
        <v>40.488</v>
      </c>
      <c r="BG99" s="194">
        <f t="shared" ref="BG99:BG104" si="55">IF(N99="zákl. prenesená",J99,0)</f>
        <v>0</v>
      </c>
      <c r="BH99" s="194">
        <f t="shared" ref="BH99:BH104" si="56">IF(N99="zníž. prenesená",J99,0)</f>
        <v>0</v>
      </c>
      <c r="BI99" s="194">
        <f t="shared" ref="BI99:BI104" si="57">IF(N99="nulová",J99,0)</f>
        <v>0</v>
      </c>
      <c r="BJ99" s="158" t="s">
        <v>38</v>
      </c>
      <c r="BK99" s="194">
        <f t="shared" ref="BK99:BK104" si="58">ROUND(I99*H99,2)</f>
        <v>40.49</v>
      </c>
      <c r="BL99" s="158" t="s">
        <v>52</v>
      </c>
      <c r="BM99" s="193" t="s">
        <v>358</v>
      </c>
    </row>
    <row r="100" spans="2:65" s="129" customFormat="1" ht="12">
      <c r="B100" s="182"/>
      <c r="C100" s="195" t="s">
        <v>359</v>
      </c>
      <c r="D100" s="195" t="s">
        <v>175</v>
      </c>
      <c r="E100" s="196" t="s">
        <v>360</v>
      </c>
      <c r="F100" s="197" t="s">
        <v>361</v>
      </c>
      <c r="G100" s="198" t="s">
        <v>167</v>
      </c>
      <c r="H100" s="199">
        <f>H99*0.0004</f>
        <v>4.6272000000000008E-2</v>
      </c>
      <c r="I100" s="199">
        <v>641</v>
      </c>
      <c r="J100" s="199">
        <f>ROUND(I100*H100,3)</f>
        <v>29.66</v>
      </c>
      <c r="K100" s="200"/>
      <c r="L100" s="201"/>
      <c r="M100" s="202"/>
      <c r="N100" s="203" t="s">
        <v>132</v>
      </c>
      <c r="O100" s="191">
        <v>0</v>
      </c>
      <c r="P100" s="191">
        <f t="shared" si="50"/>
        <v>0</v>
      </c>
      <c r="Q100" s="191">
        <v>0</v>
      </c>
      <c r="R100" s="191">
        <f t="shared" si="51"/>
        <v>0</v>
      </c>
      <c r="S100" s="191">
        <v>0</v>
      </c>
      <c r="T100" s="192">
        <f t="shared" si="52"/>
        <v>0</v>
      </c>
      <c r="AR100" s="193" t="s">
        <v>174</v>
      </c>
      <c r="AT100" s="193" t="s">
        <v>175</v>
      </c>
      <c r="AU100" s="193" t="s">
        <v>38</v>
      </c>
      <c r="AY100" s="158" t="s">
        <v>122</v>
      </c>
      <c r="BE100" s="194">
        <f t="shared" si="53"/>
        <v>0</v>
      </c>
      <c r="BF100" s="194">
        <f t="shared" si="54"/>
        <v>29.66</v>
      </c>
      <c r="BG100" s="194">
        <f t="shared" si="55"/>
        <v>0</v>
      </c>
      <c r="BH100" s="194">
        <f t="shared" si="56"/>
        <v>0</v>
      </c>
      <c r="BI100" s="194">
        <f t="shared" si="57"/>
        <v>0</v>
      </c>
      <c r="BJ100" s="158" t="s">
        <v>38</v>
      </c>
      <c r="BK100" s="194">
        <f t="shared" si="58"/>
        <v>29.66</v>
      </c>
      <c r="BL100" s="158" t="s">
        <v>52</v>
      </c>
      <c r="BM100" s="193" t="s">
        <v>362</v>
      </c>
    </row>
    <row r="101" spans="2:65" s="129" customFormat="1" ht="24">
      <c r="B101" s="182"/>
      <c r="C101" s="183" t="s">
        <v>250</v>
      </c>
      <c r="D101" s="183" t="s">
        <v>124</v>
      </c>
      <c r="E101" s="184" t="s">
        <v>363</v>
      </c>
      <c r="F101" s="185" t="s">
        <v>364</v>
      </c>
      <c r="G101" s="186" t="s">
        <v>127</v>
      </c>
      <c r="H101" s="187">
        <f>H99</f>
        <v>115.68</v>
      </c>
      <c r="I101" s="187">
        <v>0.75</v>
      </c>
      <c r="J101" s="187">
        <f>ROUND(I101*H101,4)</f>
        <v>86.76</v>
      </c>
      <c r="K101" s="188"/>
      <c r="L101" s="133"/>
      <c r="M101" s="189"/>
      <c r="N101" s="190" t="s">
        <v>132</v>
      </c>
      <c r="O101" s="191">
        <v>0</v>
      </c>
      <c r="P101" s="191">
        <f t="shared" si="50"/>
        <v>0</v>
      </c>
      <c r="Q101" s="191">
        <v>0</v>
      </c>
      <c r="R101" s="191">
        <f t="shared" si="51"/>
        <v>0</v>
      </c>
      <c r="S101" s="191">
        <v>0</v>
      </c>
      <c r="T101" s="192">
        <f t="shared" si="52"/>
        <v>0</v>
      </c>
      <c r="AR101" s="193" t="s">
        <v>52</v>
      </c>
      <c r="AT101" s="193" t="s">
        <v>124</v>
      </c>
      <c r="AU101" s="193" t="s">
        <v>38</v>
      </c>
      <c r="AY101" s="158" t="s">
        <v>122</v>
      </c>
      <c r="BE101" s="194">
        <f t="shared" si="53"/>
        <v>0</v>
      </c>
      <c r="BF101" s="194">
        <f t="shared" si="54"/>
        <v>86.76</v>
      </c>
      <c r="BG101" s="194">
        <f t="shared" si="55"/>
        <v>0</v>
      </c>
      <c r="BH101" s="194">
        <f t="shared" si="56"/>
        <v>0</v>
      </c>
      <c r="BI101" s="194">
        <f t="shared" si="57"/>
        <v>0</v>
      </c>
      <c r="BJ101" s="158" t="s">
        <v>38</v>
      </c>
      <c r="BK101" s="194">
        <f t="shared" si="58"/>
        <v>86.76</v>
      </c>
      <c r="BL101" s="158" t="s">
        <v>52</v>
      </c>
      <c r="BM101" s="193" t="s">
        <v>365</v>
      </c>
    </row>
    <row r="102" spans="2:65" s="129" customFormat="1" ht="12">
      <c r="B102" s="182"/>
      <c r="C102" s="195" t="s">
        <v>366</v>
      </c>
      <c r="D102" s="195" t="s">
        <v>175</v>
      </c>
      <c r="E102" s="196" t="s">
        <v>367</v>
      </c>
      <c r="F102" s="197" t="s">
        <v>368</v>
      </c>
      <c r="G102" s="198" t="s">
        <v>167</v>
      </c>
      <c r="H102" s="199">
        <f>H101*0.0017</f>
        <v>0.196656</v>
      </c>
      <c r="I102" s="199">
        <v>594.53</v>
      </c>
      <c r="J102" s="199">
        <f>ROUND(I102*H102,4)</f>
        <v>116.9179</v>
      </c>
      <c r="K102" s="200"/>
      <c r="L102" s="201"/>
      <c r="M102" s="202"/>
      <c r="N102" s="203" t="s">
        <v>132</v>
      </c>
      <c r="O102" s="191">
        <v>0</v>
      </c>
      <c r="P102" s="191">
        <f t="shared" si="50"/>
        <v>0</v>
      </c>
      <c r="Q102" s="191">
        <v>0</v>
      </c>
      <c r="R102" s="191">
        <f t="shared" si="51"/>
        <v>0</v>
      </c>
      <c r="S102" s="191">
        <v>0</v>
      </c>
      <c r="T102" s="192">
        <f t="shared" si="52"/>
        <v>0</v>
      </c>
      <c r="AR102" s="193" t="s">
        <v>174</v>
      </c>
      <c r="AT102" s="193" t="s">
        <v>175</v>
      </c>
      <c r="AU102" s="193" t="s">
        <v>38</v>
      </c>
      <c r="AY102" s="158" t="s">
        <v>122</v>
      </c>
      <c r="BE102" s="194">
        <f t="shared" si="53"/>
        <v>0</v>
      </c>
      <c r="BF102" s="194">
        <f t="shared" si="54"/>
        <v>116.9179</v>
      </c>
      <c r="BG102" s="194">
        <f t="shared" si="55"/>
        <v>0</v>
      </c>
      <c r="BH102" s="194">
        <f t="shared" si="56"/>
        <v>0</v>
      </c>
      <c r="BI102" s="194">
        <f t="shared" si="57"/>
        <v>0</v>
      </c>
      <c r="BJ102" s="158" t="s">
        <v>38</v>
      </c>
      <c r="BK102" s="194">
        <f t="shared" si="58"/>
        <v>116.92</v>
      </c>
      <c r="BL102" s="158" t="s">
        <v>52</v>
      </c>
      <c r="BM102" s="193" t="s">
        <v>369</v>
      </c>
    </row>
    <row r="103" spans="2:65" s="129" customFormat="1" ht="36">
      <c r="B103" s="182"/>
      <c r="C103" s="183" t="s">
        <v>370</v>
      </c>
      <c r="D103" s="183" t="s">
        <v>124</v>
      </c>
      <c r="E103" s="184" t="s">
        <v>371</v>
      </c>
      <c r="F103" s="185" t="s">
        <v>372</v>
      </c>
      <c r="G103" s="186" t="s">
        <v>127</v>
      </c>
      <c r="H103" s="187">
        <f>H101</f>
        <v>115.68</v>
      </c>
      <c r="I103" s="187">
        <v>4.3600000000000003</v>
      </c>
      <c r="J103" s="187">
        <f>ROUND(I103*H103,3)</f>
        <v>504.36500000000001</v>
      </c>
      <c r="K103" s="188"/>
      <c r="L103" s="133"/>
      <c r="M103" s="189"/>
      <c r="N103" s="190" t="s">
        <v>132</v>
      </c>
      <c r="O103" s="191">
        <v>0</v>
      </c>
      <c r="P103" s="191">
        <f t="shared" si="50"/>
        <v>0</v>
      </c>
      <c r="Q103" s="191">
        <v>0</v>
      </c>
      <c r="R103" s="191">
        <f t="shared" si="51"/>
        <v>0</v>
      </c>
      <c r="S103" s="191">
        <v>0</v>
      </c>
      <c r="T103" s="192">
        <f t="shared" si="52"/>
        <v>0</v>
      </c>
      <c r="AR103" s="193" t="s">
        <v>52</v>
      </c>
      <c r="AT103" s="193" t="s">
        <v>124</v>
      </c>
      <c r="AU103" s="193" t="s">
        <v>38</v>
      </c>
      <c r="AY103" s="158" t="s">
        <v>122</v>
      </c>
      <c r="BE103" s="194">
        <f t="shared" si="53"/>
        <v>0</v>
      </c>
      <c r="BF103" s="194">
        <f t="shared" si="54"/>
        <v>504.36500000000001</v>
      </c>
      <c r="BG103" s="194">
        <f t="shared" si="55"/>
        <v>0</v>
      </c>
      <c r="BH103" s="194">
        <f t="shared" si="56"/>
        <v>0</v>
      </c>
      <c r="BI103" s="194">
        <f t="shared" si="57"/>
        <v>0</v>
      </c>
      <c r="BJ103" s="158" t="s">
        <v>38</v>
      </c>
      <c r="BK103" s="194">
        <f t="shared" si="58"/>
        <v>504.36</v>
      </c>
      <c r="BL103" s="158" t="s">
        <v>52</v>
      </c>
      <c r="BM103" s="193" t="s">
        <v>373</v>
      </c>
    </row>
    <row r="104" spans="2:65" s="129" customFormat="1" ht="12">
      <c r="B104" s="182"/>
      <c r="C104" s="195" t="s">
        <v>374</v>
      </c>
      <c r="D104" s="195" t="s">
        <v>175</v>
      </c>
      <c r="E104" s="196" t="s">
        <v>375</v>
      </c>
      <c r="F104" s="197" t="s">
        <v>376</v>
      </c>
      <c r="G104" s="198" t="s">
        <v>127</v>
      </c>
      <c r="H104" s="199">
        <f>H103</f>
        <v>115.68</v>
      </c>
      <c r="I104" s="199">
        <v>1.99</v>
      </c>
      <c r="J104" s="199">
        <f>ROUND(I104*H104,3)</f>
        <v>230.203</v>
      </c>
      <c r="K104" s="200"/>
      <c r="L104" s="201"/>
      <c r="M104" s="204"/>
      <c r="N104" s="205" t="s">
        <v>132</v>
      </c>
      <c r="O104" s="206">
        <v>0</v>
      </c>
      <c r="P104" s="206">
        <f t="shared" si="50"/>
        <v>0</v>
      </c>
      <c r="Q104" s="206">
        <v>0</v>
      </c>
      <c r="R104" s="206">
        <f t="shared" si="51"/>
        <v>0</v>
      </c>
      <c r="S104" s="206">
        <v>0</v>
      </c>
      <c r="T104" s="207">
        <f t="shared" si="52"/>
        <v>0</v>
      </c>
      <c r="AR104" s="193" t="s">
        <v>174</v>
      </c>
      <c r="AT104" s="193" t="s">
        <v>175</v>
      </c>
      <c r="AU104" s="193" t="s">
        <v>38</v>
      </c>
      <c r="AY104" s="158" t="s">
        <v>122</v>
      </c>
      <c r="BE104" s="194">
        <f t="shared" si="53"/>
        <v>0</v>
      </c>
      <c r="BF104" s="194">
        <f t="shared" si="54"/>
        <v>230.203</v>
      </c>
      <c r="BG104" s="194">
        <f t="shared" si="55"/>
        <v>0</v>
      </c>
      <c r="BH104" s="194">
        <f t="shared" si="56"/>
        <v>0</v>
      </c>
      <c r="BI104" s="194">
        <f t="shared" si="57"/>
        <v>0</v>
      </c>
      <c r="BJ104" s="158" t="s">
        <v>38</v>
      </c>
      <c r="BK104" s="194">
        <f t="shared" si="58"/>
        <v>230.2</v>
      </c>
      <c r="BL104" s="158" t="s">
        <v>52</v>
      </c>
      <c r="BM104" s="193" t="s">
        <v>377</v>
      </c>
    </row>
    <row r="105" spans="2:65" s="160" customFormat="1" ht="15.75">
      <c r="B105" s="161"/>
      <c r="D105" s="162" t="s">
        <v>73</v>
      </c>
      <c r="E105" s="163" t="s">
        <v>32</v>
      </c>
      <c r="F105" s="163" t="s">
        <v>120</v>
      </c>
      <c r="H105" s="164"/>
      <c r="I105" s="164"/>
      <c r="J105" s="165">
        <f>SUM(J111+J109+J106)</f>
        <v>8960.85</v>
      </c>
      <c r="L105" s="161"/>
      <c r="M105" s="166"/>
      <c r="P105" s="167">
        <f>P106</f>
        <v>0</v>
      </c>
      <c r="R105" s="167">
        <f>R106</f>
        <v>0</v>
      </c>
      <c r="T105" s="168">
        <f>T106</f>
        <v>0</v>
      </c>
      <c r="AR105" s="162" t="s">
        <v>38</v>
      </c>
      <c r="AT105" s="169" t="s">
        <v>73</v>
      </c>
      <c r="AU105" s="169" t="s">
        <v>121</v>
      </c>
      <c r="AY105" s="162" t="s">
        <v>122</v>
      </c>
      <c r="BK105" s="170">
        <f>BK106</f>
        <v>0</v>
      </c>
    </row>
    <row r="106" spans="2:65" s="171" customFormat="1" ht="12.75">
      <c r="B106" s="172"/>
      <c r="D106" s="173" t="s">
        <v>73</v>
      </c>
      <c r="E106" s="174" t="s">
        <v>378</v>
      </c>
      <c r="F106" s="174" t="s">
        <v>379</v>
      </c>
      <c r="H106" s="175"/>
      <c r="I106" s="175"/>
      <c r="J106" s="176">
        <f>SUM(J107:J108)</f>
        <v>6460.85</v>
      </c>
      <c r="L106" s="172"/>
      <c r="M106" s="177"/>
      <c r="P106" s="178">
        <f>SUM(P107:P113)</f>
        <v>0</v>
      </c>
      <c r="R106" s="178">
        <f>SUM(R107:R113)</f>
        <v>0</v>
      </c>
      <c r="T106" s="179">
        <f>SUM(T107:T113)</f>
        <v>0</v>
      </c>
      <c r="V106" s="215"/>
      <c r="AR106" s="173" t="s">
        <v>38</v>
      </c>
      <c r="AT106" s="180" t="s">
        <v>73</v>
      </c>
      <c r="AU106" s="180" t="s">
        <v>31</v>
      </c>
      <c r="AY106" s="173" t="s">
        <v>122</v>
      </c>
      <c r="BK106" s="181">
        <f>SUM(BK107:BK113)</f>
        <v>0</v>
      </c>
    </row>
    <row r="107" spans="2:65" s="129" customFormat="1" ht="36">
      <c r="B107" s="182"/>
      <c r="C107" s="183"/>
      <c r="D107" s="183"/>
      <c r="E107" s="184" t="s">
        <v>389</v>
      </c>
      <c r="F107" s="185" t="s">
        <v>380</v>
      </c>
      <c r="G107" s="186" t="s">
        <v>381</v>
      </c>
      <c r="H107" s="187">
        <v>1</v>
      </c>
      <c r="I107" s="187">
        <v>3230.4250000000002</v>
      </c>
      <c r="J107" s="187">
        <f>ROUND(I107*H107,4)</f>
        <v>3230.4250000000002</v>
      </c>
      <c r="K107" s="188"/>
      <c r="L107" s="133"/>
      <c r="M107" s="189"/>
      <c r="N107" s="190"/>
      <c r="O107" s="191"/>
      <c r="P107" s="191"/>
      <c r="Q107" s="191"/>
      <c r="R107" s="191"/>
      <c r="S107" s="191"/>
      <c r="T107" s="192"/>
      <c r="AR107" s="193"/>
      <c r="AT107" s="193"/>
      <c r="AU107" s="193"/>
      <c r="AY107" s="158"/>
      <c r="BE107" s="194"/>
      <c r="BF107" s="194"/>
      <c r="BG107" s="194"/>
      <c r="BH107" s="194"/>
      <c r="BI107" s="194"/>
      <c r="BJ107" s="158"/>
      <c r="BK107" s="194"/>
      <c r="BL107" s="158"/>
      <c r="BM107" s="193"/>
    </row>
    <row r="108" spans="2:65" s="129" customFormat="1" ht="24">
      <c r="B108" s="182"/>
      <c r="C108" s="183"/>
      <c r="D108" s="183"/>
      <c r="E108" s="184" t="s">
        <v>390</v>
      </c>
      <c r="F108" s="185" t="s">
        <v>382</v>
      </c>
      <c r="G108" s="186" t="s">
        <v>381</v>
      </c>
      <c r="H108" s="187">
        <v>1</v>
      </c>
      <c r="I108" s="187">
        <v>3230.4250000000002</v>
      </c>
      <c r="J108" s="187">
        <f>ROUND(I108*H108,4)</f>
        <v>3230.4250000000002</v>
      </c>
      <c r="K108" s="188"/>
      <c r="L108" s="133"/>
      <c r="M108" s="189"/>
      <c r="N108" s="190"/>
      <c r="O108" s="191"/>
      <c r="P108" s="191"/>
      <c r="Q108" s="191"/>
      <c r="R108" s="191"/>
      <c r="S108" s="191"/>
      <c r="T108" s="192"/>
      <c r="AR108" s="193"/>
      <c r="AT108" s="193"/>
      <c r="AU108" s="193"/>
      <c r="AY108" s="158"/>
      <c r="BE108" s="194"/>
      <c r="BF108" s="194"/>
      <c r="BG108" s="194"/>
      <c r="BH108" s="194"/>
      <c r="BI108" s="194"/>
      <c r="BJ108" s="158"/>
      <c r="BK108" s="194"/>
      <c r="BL108" s="158"/>
      <c r="BM108" s="193"/>
    </row>
    <row r="109" spans="2:65" s="129" customFormat="1" ht="12.75">
      <c r="B109" s="182"/>
      <c r="C109" s="195"/>
      <c r="D109" s="195"/>
      <c r="E109" s="208" t="s">
        <v>383</v>
      </c>
      <c r="F109" s="208" t="s">
        <v>384</v>
      </c>
      <c r="G109" s="209"/>
      <c r="H109" s="210"/>
      <c r="I109" s="210"/>
      <c r="J109" s="211">
        <f>J110</f>
        <v>2000</v>
      </c>
      <c r="K109" s="200"/>
      <c r="L109" s="201"/>
      <c r="M109" s="204"/>
      <c r="N109" s="205"/>
      <c r="O109" s="206"/>
      <c r="P109" s="206"/>
      <c r="Q109" s="206"/>
      <c r="R109" s="206"/>
      <c r="S109" s="206"/>
      <c r="T109" s="207"/>
      <c r="V109" s="135"/>
      <c r="AR109" s="193"/>
      <c r="AT109" s="193"/>
      <c r="AU109" s="193"/>
      <c r="AY109" s="158"/>
      <c r="BE109" s="194"/>
      <c r="BF109" s="194"/>
      <c r="BG109" s="194"/>
      <c r="BH109" s="194"/>
      <c r="BI109" s="194"/>
      <c r="BJ109" s="158"/>
      <c r="BK109" s="194"/>
      <c r="BL109" s="158"/>
      <c r="BM109" s="193"/>
    </row>
    <row r="110" spans="2:65" s="129" customFormat="1" ht="36">
      <c r="B110" s="182"/>
      <c r="C110" s="183"/>
      <c r="D110" s="183"/>
      <c r="E110" s="184" t="s">
        <v>391</v>
      </c>
      <c r="F110" s="185" t="s">
        <v>385</v>
      </c>
      <c r="G110" s="186" t="s">
        <v>257</v>
      </c>
      <c r="H110" s="187">
        <v>1</v>
      </c>
      <c r="I110" s="187">
        <v>2000</v>
      </c>
      <c r="J110" s="187">
        <f>I110*H110</f>
        <v>2000</v>
      </c>
      <c r="K110" s="188"/>
      <c r="L110" s="133"/>
      <c r="M110" s="189"/>
      <c r="N110" s="190"/>
      <c r="O110" s="191"/>
      <c r="P110" s="191"/>
      <c r="Q110" s="191"/>
      <c r="R110" s="191"/>
      <c r="S110" s="191"/>
      <c r="T110" s="192"/>
      <c r="AR110" s="193"/>
      <c r="AT110" s="193"/>
      <c r="AU110" s="193"/>
      <c r="AY110" s="158"/>
      <c r="BE110" s="194"/>
      <c r="BF110" s="194"/>
      <c r="BG110" s="194"/>
      <c r="BH110" s="194"/>
      <c r="BI110" s="194"/>
      <c r="BJ110" s="158"/>
      <c r="BK110" s="194"/>
      <c r="BL110" s="158"/>
      <c r="BM110" s="193"/>
    </row>
    <row r="111" spans="2:65" s="129" customFormat="1" ht="12.75">
      <c r="B111" s="182"/>
      <c r="C111" s="195"/>
      <c r="D111" s="195"/>
      <c r="E111" s="208" t="s">
        <v>386</v>
      </c>
      <c r="F111" s="208" t="s">
        <v>387</v>
      </c>
      <c r="G111" s="209"/>
      <c r="H111" s="210"/>
      <c r="I111" s="210"/>
      <c r="J111" s="211">
        <f>SUM(J112:J113)</f>
        <v>500</v>
      </c>
      <c r="K111" s="200"/>
      <c r="L111" s="201"/>
      <c r="M111" s="204"/>
      <c r="N111" s="205"/>
      <c r="O111" s="206"/>
      <c r="P111" s="206"/>
      <c r="Q111" s="206"/>
      <c r="R111" s="206"/>
      <c r="S111" s="206"/>
      <c r="T111" s="207"/>
      <c r="AR111" s="193"/>
      <c r="AT111" s="193"/>
      <c r="AU111" s="193"/>
      <c r="AY111" s="158"/>
      <c r="BE111" s="194"/>
      <c r="BF111" s="194"/>
      <c r="BG111" s="194"/>
      <c r="BH111" s="194"/>
      <c r="BI111" s="194"/>
      <c r="BJ111" s="158"/>
      <c r="BK111" s="194"/>
      <c r="BL111" s="158"/>
      <c r="BM111" s="193"/>
    </row>
    <row r="112" spans="2:65" s="129" customFormat="1" ht="12">
      <c r="B112" s="182"/>
      <c r="C112" s="183"/>
      <c r="D112" s="183"/>
      <c r="E112" s="184" t="s">
        <v>388</v>
      </c>
      <c r="F112" s="185" t="s">
        <v>387</v>
      </c>
      <c r="G112" s="186" t="s">
        <v>346</v>
      </c>
      <c r="H112" s="187">
        <v>1</v>
      </c>
      <c r="I112" s="187">
        <v>500</v>
      </c>
      <c r="J112" s="187">
        <f>H112*I112</f>
        <v>500</v>
      </c>
      <c r="K112" s="188"/>
      <c r="L112" s="133"/>
      <c r="M112" s="189"/>
      <c r="N112" s="190"/>
      <c r="O112" s="191"/>
      <c r="P112" s="191"/>
      <c r="Q112" s="191"/>
      <c r="R112" s="191"/>
      <c r="S112" s="191"/>
      <c r="T112" s="192"/>
      <c r="V112" s="135"/>
      <c r="X112" s="135"/>
      <c r="AR112" s="193"/>
      <c r="AT112" s="193"/>
      <c r="AU112" s="193"/>
      <c r="AY112" s="158"/>
      <c r="BE112" s="194"/>
      <c r="BF112" s="194"/>
      <c r="BG112" s="194"/>
      <c r="BH112" s="194"/>
      <c r="BI112" s="194"/>
      <c r="BJ112" s="158"/>
      <c r="BK112" s="194"/>
      <c r="BL112" s="158"/>
      <c r="BM112" s="193"/>
    </row>
    <row r="113" spans="2:65" s="129" customFormat="1" ht="12">
      <c r="B113" s="182"/>
      <c r="C113" s="183"/>
      <c r="D113" s="183"/>
      <c r="E113" s="184"/>
      <c r="F113" s="185"/>
      <c r="G113" s="186"/>
      <c r="H113" s="187"/>
      <c r="I113" s="187"/>
      <c r="J113" s="187"/>
      <c r="K113" s="188"/>
      <c r="L113" s="133"/>
      <c r="M113" s="189"/>
      <c r="N113" s="190"/>
      <c r="O113" s="191"/>
      <c r="P113" s="191"/>
      <c r="Q113" s="191"/>
      <c r="R113" s="191"/>
      <c r="S113" s="191"/>
      <c r="T113" s="192"/>
      <c r="V113" s="135"/>
      <c r="AR113" s="193"/>
      <c r="AT113" s="193"/>
      <c r="AU113" s="193"/>
      <c r="AY113" s="158"/>
      <c r="BE113" s="194"/>
      <c r="BF113" s="194"/>
      <c r="BG113" s="194"/>
      <c r="BH113" s="194"/>
      <c r="BI113" s="194"/>
      <c r="BJ113" s="158"/>
      <c r="BK113" s="194"/>
      <c r="BL113" s="158"/>
      <c r="BM113" s="193"/>
    </row>
    <row r="114" spans="2:65" s="129" customFormat="1" ht="6.95" customHeight="1">
      <c r="B114" s="212"/>
      <c r="C114" s="213"/>
      <c r="D114" s="213"/>
      <c r="E114" s="213"/>
      <c r="F114" s="213"/>
      <c r="G114" s="213"/>
      <c r="H114" s="214"/>
      <c r="I114" s="214"/>
      <c r="J114" s="214"/>
      <c r="K114" s="213"/>
      <c r="L114" s="133"/>
    </row>
  </sheetData>
  <autoFilter ref="C14:K104"/>
  <mergeCells count="3">
    <mergeCell ref="E5:H5"/>
    <mergeCell ref="E7:H7"/>
    <mergeCell ref="F11:F12"/>
  </mergeCells>
  <pageMargins left="0.39374999999999999" right="0.39374999999999999" top="0.39374999999999999" bottom="0.39374999999999999" header="0.51180555555555496" footer="0"/>
  <pageSetup paperSize="9" scale="77" firstPageNumber="0" fitToHeight="100" orientation="portrait" horizontalDpi="300" verticalDpi="300" r:id="rId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64</TotalTime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5</vt:i4>
      </vt:variant>
    </vt:vector>
  </HeadingPairs>
  <TitlesOfParts>
    <vt:vector size="7" baseType="lpstr">
      <vt:lpstr>Hárok3</vt:lpstr>
      <vt:lpstr>SO 101 - Rozpočet</vt:lpstr>
      <vt:lpstr>'SO 101 - Rozpočet'!Názvy_tlače</vt:lpstr>
      <vt:lpstr>'SO 101 - Rozpočet'!Print_Titles_0</vt:lpstr>
      <vt:lpstr>'SO 101 - Rozpočet'!Print_Titles_0_0</vt:lpstr>
      <vt:lpstr>'SO 101 - Rozpočet'!Print_Titles_0_0_0</vt:lpstr>
      <vt:lpstr>'SO 101 - Rozpočet'!Print_Titles_0_0_0_0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LAPTOP-302P9OM4\Petronela</dc:creator>
  <dc:description/>
  <cp:lastModifiedBy>Obec Úbrež</cp:lastModifiedBy>
  <cp:revision>6</cp:revision>
  <cp:lastPrinted>2024-04-29T06:49:24Z</cp:lastPrinted>
  <dcterms:created xsi:type="dcterms:W3CDTF">2023-01-26T06:12:57Z</dcterms:created>
  <dcterms:modified xsi:type="dcterms:W3CDTF">2024-04-29T06:49:47Z</dcterms:modified>
  <dc:language>sk-SK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